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rank\Desktop\"/>
    </mc:Choice>
  </mc:AlternateContent>
  <xr:revisionPtr revIDLastSave="0" documentId="13_ncr:1_{06587F54-8586-4B7C-A52A-7EC99C69644D}" xr6:coauthVersionLast="47" xr6:coauthVersionMax="47" xr10:uidLastSave="{00000000-0000-0000-0000-000000000000}"/>
  <bookViews>
    <workbookView xWindow="28680" yWindow="-180" windowWidth="29040" windowHeight="15720" xr2:uid="{C873DE9C-A3D6-4F28-82CF-88709B5F8F0C}"/>
  </bookViews>
  <sheets>
    <sheet name="156" sheetId="2" r:id="rId1"/>
  </sheets>
  <definedNames>
    <definedName name="_xlnm.Print_Area" localSheetId="0">'156'!$A$1:$V$55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2" l="1"/>
  <c r="P20" i="2"/>
  <c r="P19" i="2"/>
  <c r="P18" i="2"/>
  <c r="O9" i="2" s="1"/>
  <c r="P17" i="2"/>
  <c r="I7" i="2" s="1"/>
  <c r="I14" i="2" l="1"/>
  <c r="I26" i="2"/>
  <c r="I38" i="2"/>
  <c r="I44" i="2"/>
  <c r="O8" i="2"/>
  <c r="I9" i="2"/>
  <c r="I15" i="2"/>
  <c r="I21" i="2"/>
  <c r="I27" i="2"/>
  <c r="I33" i="2"/>
  <c r="I39" i="2"/>
  <c r="I45" i="2"/>
  <c r="I51" i="2"/>
  <c r="I8" i="2"/>
  <c r="I20" i="2"/>
  <c r="I32" i="2"/>
  <c r="I50" i="2"/>
  <c r="I10" i="2"/>
  <c r="I16" i="2"/>
  <c r="I22" i="2"/>
  <c r="I28" i="2"/>
  <c r="I34" i="2"/>
  <c r="I40" i="2"/>
  <c r="I46" i="2"/>
  <c r="I52" i="2"/>
  <c r="I11" i="2"/>
  <c r="I23" i="2"/>
  <c r="I29" i="2"/>
  <c r="I41" i="2"/>
  <c r="I53" i="2"/>
  <c r="I5" i="2"/>
  <c r="I12" i="2"/>
  <c r="I18" i="2"/>
  <c r="I24" i="2"/>
  <c r="I30" i="2"/>
  <c r="I36" i="2"/>
  <c r="I42" i="2"/>
  <c r="I48" i="2"/>
  <c r="I54" i="2"/>
  <c r="I17" i="2"/>
  <c r="I35" i="2"/>
  <c r="I47" i="2"/>
  <c r="I6" i="2"/>
  <c r="I13" i="2"/>
  <c r="I19" i="2"/>
  <c r="I25" i="2"/>
  <c r="I31" i="2"/>
  <c r="I37" i="2"/>
  <c r="I43" i="2"/>
  <c r="I49" i="2"/>
  <c r="O10" i="2"/>
  <c r="N10" i="2" l="1"/>
  <c r="N9" i="2"/>
  <c r="V8" i="2"/>
  <c r="N8" i="2"/>
  <c r="P8" i="2" l="1"/>
  <c r="H51" i="2"/>
  <c r="H45" i="2"/>
  <c r="H39" i="2"/>
  <c r="H33" i="2"/>
  <c r="H27" i="2"/>
  <c r="H21" i="2"/>
  <c r="H15" i="2"/>
  <c r="H9" i="2"/>
  <c r="H31" i="2"/>
  <c r="H25" i="2"/>
  <c r="H19" i="2"/>
  <c r="H7" i="2"/>
  <c r="H50" i="2"/>
  <c r="H44" i="2"/>
  <c r="H38" i="2"/>
  <c r="H32" i="2"/>
  <c r="H26" i="2"/>
  <c r="H20" i="2"/>
  <c r="H14" i="2"/>
  <c r="H8" i="2"/>
  <c r="H49" i="2"/>
  <c r="H43" i="2"/>
  <c r="H37" i="2"/>
  <c r="H13" i="2"/>
  <c r="H54" i="2"/>
  <c r="H48" i="2"/>
  <c r="H42" i="2"/>
  <c r="H36" i="2"/>
  <c r="H30" i="2"/>
  <c r="H24" i="2"/>
  <c r="H18" i="2"/>
  <c r="H12" i="2"/>
  <c r="H6" i="2"/>
  <c r="H46" i="2"/>
  <c r="H34" i="2"/>
  <c r="H16" i="2"/>
  <c r="H4" i="2"/>
  <c r="H53" i="2"/>
  <c r="H47" i="2"/>
  <c r="H41" i="2"/>
  <c r="H35" i="2"/>
  <c r="H29" i="2"/>
  <c r="H23" i="2"/>
  <c r="H17" i="2"/>
  <c r="H11" i="2"/>
  <c r="H5" i="2"/>
  <c r="H52" i="2"/>
  <c r="H40" i="2"/>
  <c r="H28" i="2"/>
  <c r="H22" i="2"/>
  <c r="H10" i="2"/>
  <c r="Z4" i="2"/>
  <c r="Y4" i="2"/>
  <c r="C54" i="2"/>
  <c r="D54" i="2"/>
  <c r="C53" i="2"/>
  <c r="D53" i="2"/>
  <c r="C52" i="2"/>
  <c r="D52" i="2"/>
  <c r="C51" i="2"/>
  <c r="D51" i="2"/>
  <c r="C50" i="2"/>
  <c r="D50" i="2"/>
  <c r="C49" i="2"/>
  <c r="D49" i="2"/>
  <c r="C48" i="2"/>
  <c r="D48" i="2"/>
  <c r="C47" i="2"/>
  <c r="D47" i="2"/>
  <c r="C46" i="2"/>
  <c r="D46" i="2"/>
  <c r="C45" i="2"/>
  <c r="D45" i="2"/>
  <c r="C44" i="2"/>
  <c r="D44" i="2"/>
  <c r="C43" i="2"/>
  <c r="D43" i="2"/>
  <c r="C42" i="2"/>
  <c r="D42" i="2"/>
  <c r="C41" i="2"/>
  <c r="D41" i="2"/>
  <c r="C40" i="2"/>
  <c r="D40" i="2"/>
  <c r="C39" i="2"/>
  <c r="D39" i="2"/>
  <c r="C38" i="2"/>
  <c r="D38" i="2"/>
  <c r="C37" i="2"/>
  <c r="D37" i="2"/>
  <c r="C36" i="2"/>
  <c r="D36" i="2"/>
  <c r="C35" i="2"/>
  <c r="D35" i="2"/>
  <c r="C34" i="2"/>
  <c r="D34" i="2"/>
  <c r="C33" i="2"/>
  <c r="D33" i="2"/>
  <c r="C32" i="2"/>
  <c r="D32" i="2"/>
  <c r="C31" i="2"/>
  <c r="D31" i="2"/>
  <c r="C30" i="2"/>
  <c r="D30" i="2"/>
  <c r="C29" i="2"/>
  <c r="D29" i="2"/>
  <c r="C28" i="2"/>
  <c r="D28" i="2"/>
  <c r="C27" i="2"/>
  <c r="D27" i="2"/>
  <c r="C26" i="2"/>
  <c r="D26" i="2"/>
  <c r="C25" i="2"/>
  <c r="D25" i="2"/>
  <c r="C24" i="2"/>
  <c r="D24" i="2"/>
  <c r="C23" i="2"/>
  <c r="D23" i="2"/>
  <c r="C22" i="2"/>
  <c r="D22" i="2"/>
  <c r="C21" i="2"/>
  <c r="D21" i="2"/>
  <c r="C20" i="2"/>
  <c r="D20" i="2"/>
  <c r="C19" i="2"/>
  <c r="D19" i="2"/>
  <c r="C18" i="2"/>
  <c r="D18" i="2"/>
  <c r="C17" i="2"/>
  <c r="D17" i="2"/>
  <c r="C16" i="2"/>
  <c r="D16" i="2"/>
  <c r="C15" i="2"/>
  <c r="D15" i="2"/>
  <c r="C14" i="2"/>
  <c r="D14" i="2"/>
  <c r="C13" i="2"/>
  <c r="D13" i="2"/>
  <c r="C12" i="2"/>
  <c r="D12" i="2"/>
  <c r="C11" i="2"/>
  <c r="D11" i="2"/>
  <c r="C10" i="2"/>
  <c r="D10" i="2"/>
  <c r="C9" i="2"/>
  <c r="D9" i="2"/>
  <c r="C8" i="2"/>
  <c r="D8" i="2"/>
  <c r="C7" i="2"/>
  <c r="D7" i="2"/>
  <c r="C6" i="2"/>
  <c r="D6" i="2"/>
  <c r="C5" i="2"/>
  <c r="D5" i="2"/>
  <c r="E4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J4" i="2"/>
  <c r="Z11" i="2" l="1"/>
  <c r="E37" i="2"/>
  <c r="E40" i="2"/>
  <c r="E46" i="2"/>
  <c r="E52" i="2"/>
  <c r="E39" i="2"/>
  <c r="E45" i="2"/>
  <c r="E48" i="2"/>
  <c r="Y23" i="2"/>
  <c r="Y9" i="2"/>
  <c r="Y15" i="2"/>
  <c r="Y21" i="2"/>
  <c r="Z16" i="2"/>
  <c r="Z22" i="2"/>
  <c r="Z28" i="2"/>
  <c r="Z34" i="2"/>
  <c r="Z40" i="2"/>
  <c r="Z46" i="2"/>
  <c r="Z52" i="2"/>
  <c r="Y44" i="2"/>
  <c r="Y12" i="2"/>
  <c r="Y18" i="2"/>
  <c r="Y24" i="2"/>
  <c r="Y7" i="2"/>
  <c r="Y50" i="2"/>
  <c r="Y13" i="2"/>
  <c r="Z38" i="2"/>
  <c r="Z44" i="2"/>
  <c r="Z50" i="2"/>
  <c r="Z5" i="2"/>
  <c r="Y28" i="2"/>
  <c r="Y46" i="2"/>
  <c r="E25" i="2"/>
  <c r="Y10" i="2"/>
  <c r="Z17" i="2"/>
  <c r="Z23" i="2"/>
  <c r="Z29" i="2"/>
  <c r="Z35" i="2"/>
  <c r="Z41" i="2"/>
  <c r="Z47" i="2"/>
  <c r="Z53" i="2"/>
  <c r="Y29" i="2"/>
  <c r="Y35" i="2"/>
  <c r="Y47" i="2"/>
  <c r="Y53" i="2"/>
  <c r="Z8" i="2"/>
  <c r="Y52" i="2"/>
  <c r="E5" i="2"/>
  <c r="E8" i="2"/>
  <c r="E14" i="2"/>
  <c r="E20" i="2"/>
  <c r="E23" i="2"/>
  <c r="Y26" i="2"/>
  <c r="E32" i="2"/>
  <c r="E50" i="2"/>
  <c r="E53" i="2"/>
  <c r="Z14" i="2"/>
  <c r="Y17" i="2"/>
  <c r="J24" i="2"/>
  <c r="Y30" i="2"/>
  <c r="Y41" i="2"/>
  <c r="Y5" i="2"/>
  <c r="Z19" i="2"/>
  <c r="Z25" i="2"/>
  <c r="Z37" i="2"/>
  <c r="Z43" i="2"/>
  <c r="Z49" i="2"/>
  <c r="Y25" i="2"/>
  <c r="Y31" i="2"/>
  <c r="Y42" i="2"/>
  <c r="Y49" i="2"/>
  <c r="Y32" i="2"/>
  <c r="Z9" i="2"/>
  <c r="Y19" i="2"/>
  <c r="Z20" i="2"/>
  <c r="Z26" i="2"/>
  <c r="Z32" i="2"/>
  <c r="Y37" i="2"/>
  <c r="Y43" i="2"/>
  <c r="E6" i="2"/>
  <c r="E12" i="2"/>
  <c r="E21" i="2"/>
  <c r="E24" i="2"/>
  <c r="E30" i="2"/>
  <c r="J10" i="2"/>
  <c r="Y8" i="2"/>
  <c r="Y14" i="2"/>
  <c r="Y20" i="2"/>
  <c r="Z15" i="2"/>
  <c r="Z21" i="2"/>
  <c r="Z27" i="2"/>
  <c r="Z33" i="2"/>
  <c r="Z39" i="2"/>
  <c r="Z45" i="2"/>
  <c r="Z51" i="2"/>
  <c r="Y27" i="2"/>
  <c r="Y33" i="2"/>
  <c r="Y38" i="2"/>
  <c r="Y45" i="2"/>
  <c r="Y51" i="2"/>
  <c r="Y39" i="2"/>
  <c r="Z6" i="2"/>
  <c r="Z13" i="2"/>
  <c r="Y16" i="2"/>
  <c r="Y22" i="2"/>
  <c r="Y40" i="2"/>
  <c r="Z7" i="2"/>
  <c r="Y11" i="2"/>
  <c r="Z18" i="2"/>
  <c r="Z30" i="2"/>
  <c r="Z36" i="2"/>
  <c r="Z42" i="2"/>
  <c r="Z48" i="2"/>
  <c r="Z54" i="2"/>
  <c r="Y34" i="2"/>
  <c r="Y48" i="2"/>
  <c r="Y54" i="2"/>
  <c r="Z12" i="2"/>
  <c r="Z31" i="2"/>
  <c r="Y36" i="2"/>
  <c r="Z24" i="2"/>
  <c r="E15" i="2"/>
  <c r="E18" i="2"/>
  <c r="J6" i="2"/>
  <c r="Y6" i="2"/>
  <c r="E7" i="2"/>
  <c r="E13" i="2"/>
  <c r="E16" i="2"/>
  <c r="E28" i="2"/>
  <c r="E31" i="2"/>
  <c r="J43" i="2"/>
  <c r="E43" i="2"/>
  <c r="E49" i="2"/>
  <c r="Z10" i="2"/>
  <c r="E11" i="2"/>
  <c r="E38" i="2"/>
  <c r="E44" i="2"/>
  <c r="J46" i="2"/>
  <c r="J22" i="2"/>
  <c r="J13" i="2"/>
  <c r="J12" i="2"/>
  <c r="J7" i="2"/>
  <c r="J5" i="2"/>
  <c r="J41" i="2"/>
  <c r="E19" i="2"/>
  <c r="E26" i="2"/>
  <c r="E33" i="2"/>
  <c r="E51" i="2"/>
  <c r="X4" i="2"/>
  <c r="J26" i="2"/>
  <c r="J50" i="2"/>
  <c r="J51" i="2"/>
  <c r="E9" i="2"/>
  <c r="E27" i="2"/>
  <c r="E34" i="2"/>
  <c r="E41" i="2"/>
  <c r="J53" i="2"/>
  <c r="E10" i="2"/>
  <c r="E17" i="2"/>
  <c r="E35" i="2"/>
  <c r="E42" i="2"/>
  <c r="J14" i="2"/>
  <c r="E22" i="2"/>
  <c r="E29" i="2"/>
  <c r="E36" i="2"/>
  <c r="E47" i="2"/>
  <c r="E54" i="2"/>
  <c r="J36" i="2"/>
  <c r="J42" i="2"/>
  <c r="J35" i="2"/>
  <c r="J34" i="2"/>
  <c r="J33" i="2"/>
  <c r="J32" i="2"/>
  <c r="J30" i="2"/>
  <c r="J27" i="2"/>
  <c r="J25" i="2"/>
  <c r="J54" i="2"/>
  <c r="J52" i="2"/>
  <c r="J49" i="2"/>
  <c r="J40" i="2"/>
  <c r="J37" i="2"/>
  <c r="J18" i="2"/>
  <c r="J17" i="2"/>
  <c r="J16" i="2"/>
  <c r="J38" i="2"/>
  <c r="J48" i="2"/>
  <c r="J21" i="2"/>
  <c r="J20" i="2"/>
  <c r="J11" i="2"/>
  <c r="J8" i="2"/>
  <c r="J9" i="2"/>
  <c r="J19" i="2"/>
  <c r="J44" i="2"/>
  <c r="J23" i="2"/>
  <c r="J39" i="2"/>
  <c r="J28" i="2"/>
  <c r="J29" i="2"/>
  <c r="J45" i="2"/>
  <c r="J15" i="2"/>
  <c r="J31" i="2"/>
  <c r="J47" i="2"/>
  <c r="X53" i="2" l="1"/>
  <c r="X6" i="2"/>
  <c r="X45" i="2"/>
  <c r="X37" i="2"/>
  <c r="X38" i="2"/>
  <c r="X32" i="2"/>
  <c r="X5" i="2"/>
  <c r="X52" i="2"/>
  <c r="X7" i="2"/>
  <c r="X40" i="2"/>
  <c r="X14" i="2"/>
  <c r="X46" i="2"/>
  <c r="X39" i="2"/>
  <c r="X12" i="2"/>
  <c r="X48" i="2"/>
  <c r="X24" i="2"/>
  <c r="X36" i="2"/>
  <c r="X23" i="2"/>
  <c r="X20" i="2"/>
  <c r="X25" i="2"/>
  <c r="X50" i="2"/>
  <c r="X30" i="2"/>
  <c r="X43" i="2"/>
  <c r="X8" i="2"/>
  <c r="X10" i="2"/>
  <c r="X13" i="2"/>
  <c r="X18" i="2"/>
  <c r="X26" i="2"/>
  <c r="X15" i="2"/>
  <c r="X44" i="2"/>
  <c r="X21" i="2"/>
  <c r="X42" i="2"/>
  <c r="X11" i="2"/>
  <c r="X17" i="2"/>
  <c r="X51" i="2"/>
  <c r="X27" i="2"/>
  <c r="X19" i="2"/>
  <c r="X9" i="2"/>
  <c r="X49" i="2"/>
  <c r="X41" i="2"/>
  <c r="X47" i="2"/>
  <c r="X28" i="2"/>
  <c r="X33" i="2"/>
  <c r="X31" i="2"/>
  <c r="X54" i="2"/>
  <c r="X22" i="2"/>
  <c r="X29" i="2"/>
  <c r="X34" i="2"/>
  <c r="X35" i="2"/>
  <c r="X16" i="2"/>
</calcChain>
</file>

<file path=xl/sharedStrings.xml><?xml version="1.0" encoding="utf-8"?>
<sst xmlns="http://schemas.openxmlformats.org/spreadsheetml/2006/main" count="63" uniqueCount="35">
  <si>
    <t>SEWER</t>
  </si>
  <si>
    <t>WATER</t>
  </si>
  <si>
    <t>TOTAL</t>
  </si>
  <si>
    <t>SINGLE FAMILY RESIDENTIAL – BIMONTHLY BILLING</t>
  </si>
  <si>
    <t>Water</t>
  </si>
  <si>
    <t>Sewer</t>
  </si>
  <si>
    <t>Total</t>
  </si>
  <si>
    <t>Cost</t>
  </si>
  <si>
    <t>Percentage of Sewer Return</t>
  </si>
  <si>
    <t xml:space="preserve"> Minimum</t>
  </si>
  <si>
    <t xml:space="preserve"> / 1,000</t>
  </si>
  <si>
    <t>/ 1,000</t>
  </si>
  <si>
    <t>USAGE</t>
  </si>
  <si>
    <t>SINGLE FAMILY BIMONTHLY RATES</t>
  </si>
  <si>
    <t>***Usage per 1,000 gallons***</t>
  </si>
  <si>
    <t>HC WCID 156 January 2012</t>
  </si>
  <si>
    <t>NEW</t>
  </si>
  <si>
    <t xml:space="preserve">    0 to 20,000 Gallons</t>
  </si>
  <si>
    <t>Sewer Rates Based on Metered Water Usage</t>
  </si>
  <si>
    <t>PREVIOUS</t>
  </si>
  <si>
    <t>WATER RATES</t>
  </si>
  <si>
    <t>SEWER RATES</t>
  </si>
  <si>
    <t xml:space="preserve">    0 Gallons</t>
  </si>
  <si>
    <t xml:space="preserve">    More than 30,000 Gallons</t>
  </si>
  <si>
    <t>*Per 1,000 Gallons</t>
  </si>
  <si>
    <t xml:space="preserve"> Above 10,000 Glns.*</t>
  </si>
  <si>
    <t xml:space="preserve"> 0 - 10,000 Gallons*</t>
  </si>
  <si>
    <t xml:space="preserve"> 0 Gallons</t>
  </si>
  <si>
    <t xml:space="preserve">    20 to 30,000 Gallons</t>
  </si>
  <si>
    <t>Service Charge</t>
  </si>
  <si>
    <t xml:space="preserve">    0 - 10,000 Gallons*</t>
  </si>
  <si>
    <t xml:space="preserve">   Above 10,000 Glns.*</t>
  </si>
  <si>
    <t>There shall be a $7.25 charge included in the sewer minimum rate for each residential, multi-family and commercial sewer connection to the Authority's sewer system, regardless of the volume of usage of sewer services, if any, through such connections.</t>
  </si>
  <si>
    <t>The sewer rate shall be $3.91 per 1,000 gallons of metered sewage flow. When there is no metered sewage flow, the following return flow factors shall be applied to the metered water usage.</t>
  </si>
  <si>
    <t>HC WCID 156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</si>
</sst>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0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7" xfId="0" applyBorder="1"/>
    <xf numFmtId="0" fontId="0" fillId="0" borderId="20" xfId="0" applyBorder="1"/>
    <xf numFmtId="0" fontId="2" fillId="0" borderId="14" xfId="0" applyFont="1" applyBorder="1"/>
    <xf numFmtId="164" fontId="0" fillId="0" borderId="32" xfId="0" applyNumberFormat="1" applyBorder="1"/>
    <xf numFmtId="0" fontId="1" fillId="3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4" fontId="0" fillId="4" borderId="31" xfId="0" applyNumberFormat="1" applyFill="1" applyBorder="1"/>
    <xf numFmtId="0" fontId="0" fillId="4" borderId="17" xfId="0" applyFill="1" applyBorder="1"/>
    <xf numFmtId="44" fontId="0" fillId="4" borderId="17" xfId="0" applyNumberFormat="1" applyFill="1" applyBorder="1"/>
    <xf numFmtId="0" fontId="0" fillId="4" borderId="20" xfId="0" applyFill="1" applyBorder="1"/>
    <xf numFmtId="44" fontId="0" fillId="4" borderId="20" xfId="0" applyNumberFormat="1" applyFill="1" applyBorder="1"/>
    <xf numFmtId="0" fontId="2" fillId="4" borderId="14" xfId="0" applyFont="1" applyFill="1" applyBorder="1"/>
    <xf numFmtId="44" fontId="0" fillId="4" borderId="14" xfId="0" applyNumberFormat="1" applyFill="1" applyBorder="1"/>
    <xf numFmtId="4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64" fontId="0" fillId="4" borderId="15" xfId="0" applyNumberFormat="1" applyFill="1" applyBorder="1"/>
    <xf numFmtId="0" fontId="5" fillId="5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0" fillId="5" borderId="1" xfId="0" applyFill="1" applyBorder="1"/>
    <xf numFmtId="2" fontId="0" fillId="3" borderId="18" xfId="0" applyNumberFormat="1" applyFill="1" applyBorder="1"/>
    <xf numFmtId="2" fontId="0" fillId="3" borderId="21" xfId="0" applyNumberFormat="1" applyFill="1" applyBorder="1"/>
    <xf numFmtId="0" fontId="2" fillId="4" borderId="31" xfId="0" applyFont="1" applyFill="1" applyBorder="1"/>
    <xf numFmtId="164" fontId="0" fillId="4" borderId="14" xfId="0" applyNumberFormat="1" applyFill="1" applyBorder="1" applyAlignment="1">
      <alignment horizontal="center"/>
    </xf>
    <xf numFmtId="0" fontId="2" fillId="0" borderId="31" xfId="0" applyFont="1" applyBorder="1"/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4" fillId="5" borderId="2" xfId="0" applyNumberFormat="1" applyFont="1" applyFill="1" applyBorder="1" applyAlignment="1">
      <alignment horizontal="center" wrapText="1"/>
    </xf>
    <xf numFmtId="165" fontId="0" fillId="0" borderId="31" xfId="0" applyNumberFormat="1" applyBorder="1"/>
    <xf numFmtId="165" fontId="0" fillId="0" borderId="17" xfId="0" applyNumberFormat="1" applyBorder="1"/>
    <xf numFmtId="165" fontId="0" fillId="0" borderId="20" xfId="0" applyNumberFormat="1" applyBorder="1"/>
    <xf numFmtId="165" fontId="0" fillId="0" borderId="3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0" fillId="4" borderId="42" xfId="0" applyFill="1" applyBorder="1"/>
    <xf numFmtId="0" fontId="0" fillId="4" borderId="43" xfId="0" applyFill="1" applyBorder="1"/>
    <xf numFmtId="9" fontId="0" fillId="0" borderId="48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0" fontId="1" fillId="0" borderId="36" xfId="0" applyFon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9" fontId="0" fillId="0" borderId="35" xfId="0" applyNumberFormat="1" applyBorder="1" applyAlignment="1">
      <alignment horizontal="center"/>
    </xf>
    <xf numFmtId="9" fontId="0" fillId="4" borderId="48" xfId="0" applyNumberFormat="1" applyFill="1" applyBorder="1" applyAlignment="1">
      <alignment horizontal="center"/>
    </xf>
    <xf numFmtId="9" fontId="0" fillId="4" borderId="32" xfId="0" applyNumberFormat="1" applyFill="1" applyBorder="1" applyAlignment="1">
      <alignment horizontal="center"/>
    </xf>
    <xf numFmtId="9" fontId="0" fillId="4" borderId="33" xfId="0" applyNumberFormat="1" applyFill="1" applyBorder="1" applyAlignment="1">
      <alignment horizontal="center"/>
    </xf>
    <xf numFmtId="9" fontId="0" fillId="4" borderId="29" xfId="0" applyNumberFormat="1" applyFill="1" applyBorder="1" applyAlignment="1">
      <alignment horizontal="center"/>
    </xf>
    <xf numFmtId="9" fontId="0" fillId="4" borderId="34" xfId="0" applyNumberFormat="1" applyFill="1" applyBorder="1" applyAlignment="1">
      <alignment horizontal="center"/>
    </xf>
    <xf numFmtId="9" fontId="0" fillId="4" borderId="35" xfId="0" applyNumberFormat="1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27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0" fillId="4" borderId="46" xfId="0" applyFill="1" applyBorder="1"/>
    <xf numFmtId="0" fontId="0" fillId="4" borderId="47" xfId="0" applyFill="1" applyBorder="1"/>
    <xf numFmtId="9" fontId="0" fillId="0" borderId="33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1" fillId="4" borderId="38" xfId="0" applyFont="1" applyFill="1" applyBorder="1" applyAlignment="1">
      <alignment horizontal="center" wrapText="1"/>
    </xf>
    <xf numFmtId="0" fontId="1" fillId="4" borderId="39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5" borderId="0" xfId="0" applyFont="1" applyFill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4" borderId="44" xfId="0" applyFill="1" applyBorder="1"/>
    <xf numFmtId="0" fontId="0" fillId="4" borderId="45" xfId="0" applyFill="1" applyBorder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4" fontId="0" fillId="3" borderId="29" xfId="0" applyNumberFormat="1" applyFill="1" applyBorder="1"/>
    <xf numFmtId="164" fontId="0" fillId="3" borderId="3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92DE"/>
      <color rgb="FF9C5BCD"/>
      <color rgb="FFCCCCFF"/>
      <color rgb="FFCC99FF"/>
      <color rgb="FFEBA599"/>
      <color rgb="FFEDF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442A9-99D2-4501-B8DC-4503B85F1B11}">
  <sheetPr>
    <tabColor rgb="FF00B050"/>
    <pageSetUpPr fitToPage="1"/>
  </sheetPr>
  <dimension ref="A1:Z55"/>
  <sheetViews>
    <sheetView tabSelected="1" zoomScaleNormal="100" workbookViewId="0">
      <selection activeCell="Q12" sqref="Q12"/>
    </sheetView>
  </sheetViews>
  <sheetFormatPr defaultRowHeight="15" x14ac:dyDescent="0.25"/>
  <cols>
    <col min="2" max="2" width="8.7109375" style="1" customWidth="1"/>
    <col min="3" max="3" width="11.7109375" style="1" customWidth="1"/>
    <col min="4" max="5" width="11.7109375" customWidth="1"/>
    <col min="6" max="6" width="3.7109375" customWidth="1"/>
    <col min="7" max="7" width="8.7109375" style="1" customWidth="1"/>
    <col min="8" max="8" width="11.7109375" style="39" customWidth="1"/>
    <col min="9" max="9" width="11.7109375" style="40" customWidth="1"/>
    <col min="10" max="10" width="11.7109375" customWidth="1"/>
    <col min="11" max="11" width="4" customWidth="1"/>
    <col min="12" max="12" width="9.85546875" customWidth="1"/>
    <col min="13" max="13" width="9.7109375" customWidth="1"/>
    <col min="18" max="18" width="9.42578125" customWidth="1"/>
    <col min="21" max="21" width="10.140625" customWidth="1"/>
    <col min="24" max="24" width="9.140625" style="3"/>
    <col min="25" max="26" width="9.140625" style="4"/>
  </cols>
  <sheetData>
    <row r="1" spans="1:26" s="1" customFormat="1" x14ac:dyDescent="0.25">
      <c r="A1"/>
      <c r="B1" s="104" t="s">
        <v>15</v>
      </c>
      <c r="C1" s="105"/>
      <c r="D1" s="105"/>
      <c r="E1" s="105"/>
      <c r="F1" s="28"/>
      <c r="G1" s="105" t="s">
        <v>34</v>
      </c>
      <c r="H1" s="105"/>
      <c r="I1" s="105"/>
      <c r="J1" s="106"/>
      <c r="X1" s="10"/>
      <c r="Y1" s="11"/>
      <c r="Z1" s="11"/>
    </row>
    <row r="2" spans="1:26" s="1" customFormat="1" x14ac:dyDescent="0.25">
      <c r="A2"/>
      <c r="B2" s="107" t="s">
        <v>13</v>
      </c>
      <c r="C2" s="108"/>
      <c r="D2" s="108"/>
      <c r="E2" s="108"/>
      <c r="F2" s="29"/>
      <c r="G2" s="108" t="s">
        <v>13</v>
      </c>
      <c r="H2" s="108"/>
      <c r="I2" s="108"/>
      <c r="J2" s="109"/>
      <c r="X2" s="10"/>
      <c r="Y2" s="11"/>
      <c r="Z2" s="11"/>
    </row>
    <row r="3" spans="1:26" s="1" customFormat="1" x14ac:dyDescent="0.25">
      <c r="A3"/>
      <c r="B3" s="30" t="s">
        <v>12</v>
      </c>
      <c r="C3" s="30" t="s">
        <v>1</v>
      </c>
      <c r="D3" s="30" t="s">
        <v>0</v>
      </c>
      <c r="E3" s="30" t="s">
        <v>2</v>
      </c>
      <c r="F3" s="31"/>
      <c r="G3" s="30" t="s">
        <v>12</v>
      </c>
      <c r="H3" s="41" t="s">
        <v>1</v>
      </c>
      <c r="I3" s="41" t="s">
        <v>0</v>
      </c>
      <c r="J3" s="30" t="s">
        <v>2</v>
      </c>
      <c r="K3" s="7"/>
      <c r="L3" s="7"/>
      <c r="M3" s="7"/>
      <c r="N3" s="7"/>
      <c r="O3" s="7"/>
      <c r="P3" s="7"/>
      <c r="Q3" s="7"/>
      <c r="R3" s="7"/>
      <c r="S3" s="7"/>
      <c r="X3" s="8" t="s">
        <v>2</v>
      </c>
      <c r="Y3" s="9" t="s">
        <v>0</v>
      </c>
      <c r="Z3" s="9" t="s">
        <v>1</v>
      </c>
    </row>
    <row r="4" spans="1:26" x14ac:dyDescent="0.25">
      <c r="B4" s="26">
        <v>0</v>
      </c>
      <c r="C4" s="25">
        <v>5</v>
      </c>
      <c r="D4" s="25">
        <v>5</v>
      </c>
      <c r="E4" s="25">
        <f t="shared" ref="E4:E35" si="0">D4+C4</f>
        <v>10</v>
      </c>
      <c r="F4" s="32"/>
      <c r="G4" s="5">
        <v>0</v>
      </c>
      <c r="H4" s="38">
        <f>N8</f>
        <v>7.25</v>
      </c>
      <c r="I4" s="38">
        <f>P17</f>
        <v>7.25</v>
      </c>
      <c r="J4" s="6">
        <f t="shared" ref="J4:J35" si="1">I4+H4</f>
        <v>14.5</v>
      </c>
      <c r="L4" s="112" t="s">
        <v>3</v>
      </c>
      <c r="M4" s="112"/>
      <c r="N4" s="112"/>
      <c r="O4" s="112"/>
      <c r="P4" s="112"/>
      <c r="Q4" s="112"/>
      <c r="R4" s="112"/>
      <c r="S4" s="112"/>
      <c r="T4" s="112"/>
      <c r="U4" s="112"/>
      <c r="V4" s="112"/>
      <c r="X4" s="4">
        <f t="shared" ref="X4:X35" si="2">(J4-E4)/E4</f>
        <v>0.45</v>
      </c>
      <c r="Y4" s="4">
        <f t="shared" ref="Y4:Y35" si="3">(I4-D4)/D4</f>
        <v>0.45</v>
      </c>
      <c r="Z4" s="4">
        <f t="shared" ref="Z4:Z35" si="4">(H4-C4)/C4</f>
        <v>0.45</v>
      </c>
    </row>
    <row r="5" spans="1:26" x14ac:dyDescent="0.25">
      <c r="B5" s="26">
        <f>B4+1</f>
        <v>1</v>
      </c>
      <c r="C5" s="25">
        <f>5+(0.5*1)</f>
        <v>5.5</v>
      </c>
      <c r="D5" s="25">
        <f t="shared" ref="D5" si="5">5+(2.7*1)*0.85</f>
        <v>7.2949999999999999</v>
      </c>
      <c r="E5" s="25">
        <f t="shared" si="0"/>
        <v>12.795</v>
      </c>
      <c r="F5" s="32"/>
      <c r="G5" s="5">
        <f>G4+1</f>
        <v>1</v>
      </c>
      <c r="H5" s="38">
        <f>N8+(N9*1)</f>
        <v>7.9749999999999996</v>
      </c>
      <c r="I5" s="38">
        <f>P17+((P18*1)*0.85)</f>
        <v>10.57775</v>
      </c>
      <c r="J5" s="6">
        <f t="shared" si="1"/>
        <v>18.55275</v>
      </c>
      <c r="X5" s="4">
        <f t="shared" si="2"/>
        <v>0.44999999999999996</v>
      </c>
      <c r="Y5" s="4">
        <f t="shared" si="3"/>
        <v>0.45</v>
      </c>
      <c r="Z5" s="4">
        <f t="shared" si="4"/>
        <v>0.44999999999999996</v>
      </c>
    </row>
    <row r="6" spans="1:26" ht="15.75" thickBot="1" x14ac:dyDescent="0.3">
      <c r="B6" s="26">
        <f t="shared" ref="B6:B54" si="6">B5+1</f>
        <v>2</v>
      </c>
      <c r="C6" s="25">
        <f>5+(0.5*2)</f>
        <v>6</v>
      </c>
      <c r="D6" s="25">
        <f>5+(2.7*2)*0.85</f>
        <v>9.59</v>
      </c>
      <c r="E6" s="25">
        <f t="shared" si="0"/>
        <v>15.59</v>
      </c>
      <c r="F6" s="32"/>
      <c r="G6" s="5">
        <f t="shared" ref="G6:G54" si="7">G5+1</f>
        <v>2</v>
      </c>
      <c r="H6" s="38">
        <f>N8+(N9*2)</f>
        <v>8.6999999999999993</v>
      </c>
      <c r="I6" s="38">
        <f>P17+(P18*2)*0.85</f>
        <v>13.9055</v>
      </c>
      <c r="J6" s="6">
        <f t="shared" si="1"/>
        <v>22.605499999999999</v>
      </c>
      <c r="L6" s="57" t="s">
        <v>20</v>
      </c>
      <c r="M6" s="57"/>
      <c r="N6" s="57"/>
      <c r="O6" s="57"/>
      <c r="P6" s="57"/>
      <c r="X6" s="4">
        <f t="shared" si="2"/>
        <v>0.44999999999999996</v>
      </c>
      <c r="Y6" s="4">
        <f t="shared" si="3"/>
        <v>0.45</v>
      </c>
      <c r="Z6" s="4">
        <f t="shared" si="4"/>
        <v>0.4499999999999999</v>
      </c>
    </row>
    <row r="7" spans="1:26" ht="15.75" thickBot="1" x14ac:dyDescent="0.3">
      <c r="B7" s="26">
        <f t="shared" si="6"/>
        <v>3</v>
      </c>
      <c r="C7" s="25">
        <f>5+(0.5*3)</f>
        <v>6.5</v>
      </c>
      <c r="D7" s="25">
        <f>5+(2.7*3)*0.85</f>
        <v>11.885000000000002</v>
      </c>
      <c r="E7" s="25">
        <f t="shared" si="0"/>
        <v>18.385000000000002</v>
      </c>
      <c r="F7" s="32"/>
      <c r="G7" s="5">
        <f t="shared" si="7"/>
        <v>3</v>
      </c>
      <c r="H7" s="38">
        <f>N8+(N9*3)</f>
        <v>9.4250000000000007</v>
      </c>
      <c r="I7" s="38">
        <f>P17+(P18*3)*0.85</f>
        <v>17.233249999999998</v>
      </c>
      <c r="J7" s="6">
        <f t="shared" si="1"/>
        <v>26.658249999999999</v>
      </c>
      <c r="L7" s="113" t="s">
        <v>16</v>
      </c>
      <c r="M7" s="114"/>
      <c r="N7" s="17" t="s">
        <v>4</v>
      </c>
      <c r="O7" s="17" t="s">
        <v>5</v>
      </c>
      <c r="P7" s="17" t="s">
        <v>6</v>
      </c>
      <c r="R7" s="51" t="s">
        <v>19</v>
      </c>
      <c r="S7" s="52"/>
      <c r="T7" s="16" t="s">
        <v>4</v>
      </c>
      <c r="U7" s="16" t="s">
        <v>5</v>
      </c>
      <c r="V7" s="16" t="s">
        <v>6</v>
      </c>
      <c r="X7" s="4">
        <f t="shared" si="2"/>
        <v>0.44999999999999979</v>
      </c>
      <c r="Y7" s="4">
        <f t="shared" si="3"/>
        <v>0.44999999999999968</v>
      </c>
      <c r="Z7" s="4">
        <f t="shared" si="4"/>
        <v>0.45000000000000012</v>
      </c>
    </row>
    <row r="8" spans="1:26" x14ac:dyDescent="0.25">
      <c r="B8" s="26">
        <f t="shared" si="6"/>
        <v>4</v>
      </c>
      <c r="C8" s="25">
        <f>5+(0.5*4)</f>
        <v>7</v>
      </c>
      <c r="D8" s="25">
        <f>5+(2.7*4)*0.85</f>
        <v>14.18</v>
      </c>
      <c r="E8" s="25">
        <f t="shared" si="0"/>
        <v>21.18</v>
      </c>
      <c r="F8" s="32"/>
      <c r="G8" s="5">
        <f t="shared" si="7"/>
        <v>4</v>
      </c>
      <c r="H8" s="38">
        <f>N8+(N9*4)</f>
        <v>10.15</v>
      </c>
      <c r="I8" s="38">
        <f>P17+(P18*4)*0.85</f>
        <v>20.561</v>
      </c>
      <c r="J8" s="6">
        <f t="shared" si="1"/>
        <v>30.710999999999999</v>
      </c>
      <c r="L8" s="115" t="s">
        <v>22</v>
      </c>
      <c r="M8" s="116"/>
      <c r="N8" s="42">
        <f>T8*0.45+T8</f>
        <v>7.25</v>
      </c>
      <c r="O8" s="42">
        <f>P17</f>
        <v>7.25</v>
      </c>
      <c r="P8" s="15">
        <f>N8+O8</f>
        <v>14.5</v>
      </c>
      <c r="R8" s="53" t="s">
        <v>27</v>
      </c>
      <c r="S8" s="54"/>
      <c r="T8" s="18">
        <v>5</v>
      </c>
      <c r="U8" s="24">
        <v>5</v>
      </c>
      <c r="V8" s="27">
        <f>T8+U8</f>
        <v>10</v>
      </c>
      <c r="X8" s="4">
        <f t="shared" si="2"/>
        <v>0.44999999999999996</v>
      </c>
      <c r="Y8" s="4">
        <f t="shared" si="3"/>
        <v>0.45</v>
      </c>
      <c r="Z8" s="4">
        <f t="shared" si="4"/>
        <v>0.45000000000000007</v>
      </c>
    </row>
    <row r="9" spans="1:26" x14ac:dyDescent="0.25">
      <c r="B9" s="26">
        <f t="shared" si="6"/>
        <v>5</v>
      </c>
      <c r="C9" s="25">
        <f>5+(0.5*5)</f>
        <v>7.5</v>
      </c>
      <c r="D9" s="25">
        <f>5+(2.7*5)*0.85</f>
        <v>16.475000000000001</v>
      </c>
      <c r="E9" s="25">
        <f t="shared" si="0"/>
        <v>23.975000000000001</v>
      </c>
      <c r="F9" s="32"/>
      <c r="G9" s="5">
        <f t="shared" si="7"/>
        <v>5</v>
      </c>
      <c r="H9" s="38">
        <f>N8+(N9*5)</f>
        <v>10.875</v>
      </c>
      <c r="I9" s="38">
        <f>P17+(P18*5)*0.85</f>
        <v>23.888749999999998</v>
      </c>
      <c r="J9" s="6">
        <f t="shared" si="1"/>
        <v>34.763750000000002</v>
      </c>
      <c r="L9" s="117" t="s">
        <v>30</v>
      </c>
      <c r="M9" s="118"/>
      <c r="N9" s="43">
        <f>T9*0.45+T9</f>
        <v>0.72499999999999998</v>
      </c>
      <c r="O9" s="43">
        <f>P18</f>
        <v>3.915</v>
      </c>
      <c r="P9" s="129"/>
      <c r="R9" s="121" t="s">
        <v>26</v>
      </c>
      <c r="S9" s="122"/>
      <c r="T9" s="20">
        <v>0.5</v>
      </c>
      <c r="U9" s="20">
        <v>2.7</v>
      </c>
      <c r="V9" s="33"/>
      <c r="X9" s="4">
        <f t="shared" si="2"/>
        <v>0.45</v>
      </c>
      <c r="Y9" s="4">
        <f t="shared" si="3"/>
        <v>0.44999999999999979</v>
      </c>
      <c r="Z9" s="4">
        <f t="shared" si="4"/>
        <v>0.45</v>
      </c>
    </row>
    <row r="10" spans="1:26" ht="15.75" thickBot="1" x14ac:dyDescent="0.3">
      <c r="B10" s="26">
        <f t="shared" si="6"/>
        <v>6</v>
      </c>
      <c r="C10" s="25">
        <f>5+(0.5*6)</f>
        <v>8</v>
      </c>
      <c r="D10" s="25">
        <f>5+(2.7*6)*0.85</f>
        <v>18.770000000000003</v>
      </c>
      <c r="E10" s="25">
        <f t="shared" si="0"/>
        <v>26.770000000000003</v>
      </c>
      <c r="F10" s="32"/>
      <c r="G10" s="5">
        <f t="shared" si="7"/>
        <v>6</v>
      </c>
      <c r="H10" s="38">
        <f>N8+(N9*6)</f>
        <v>11.6</v>
      </c>
      <c r="I10" s="38">
        <f>P17+(P18*6)*0.85</f>
        <v>27.2165</v>
      </c>
      <c r="J10" s="6">
        <f t="shared" si="1"/>
        <v>38.816499999999998</v>
      </c>
      <c r="L10" s="119" t="s">
        <v>31</v>
      </c>
      <c r="M10" s="120"/>
      <c r="N10" s="44">
        <f>T10*0.45+T10</f>
        <v>4.6400000000000006</v>
      </c>
      <c r="O10" s="44">
        <f>P18</f>
        <v>3.915</v>
      </c>
      <c r="P10" s="130"/>
      <c r="R10" s="77" t="s">
        <v>25</v>
      </c>
      <c r="S10" s="78"/>
      <c r="T10" s="22">
        <v>3.2</v>
      </c>
      <c r="U10" s="22">
        <v>2.7</v>
      </c>
      <c r="V10" s="34"/>
      <c r="X10" s="4">
        <f t="shared" si="2"/>
        <v>0.44999999999999973</v>
      </c>
      <c r="Y10" s="4">
        <f t="shared" si="3"/>
        <v>0.44999999999999973</v>
      </c>
      <c r="Z10" s="4">
        <f t="shared" si="4"/>
        <v>0.44999999999999996</v>
      </c>
    </row>
    <row r="11" spans="1:26" x14ac:dyDescent="0.25">
      <c r="B11" s="26">
        <f t="shared" si="6"/>
        <v>7</v>
      </c>
      <c r="C11" s="25">
        <f>5+(0.5*7)</f>
        <v>8.5</v>
      </c>
      <c r="D11" s="25">
        <f>5+(2.7*7)*0.85</f>
        <v>21.065000000000001</v>
      </c>
      <c r="E11" s="25">
        <f t="shared" si="0"/>
        <v>29.565000000000001</v>
      </c>
      <c r="F11" s="32"/>
      <c r="G11" s="5">
        <f t="shared" si="7"/>
        <v>7</v>
      </c>
      <c r="H11" s="38">
        <f>N8+(N9*7)</f>
        <v>12.324999999999999</v>
      </c>
      <c r="I11" s="38">
        <f>P17+(P18*7)*0.85</f>
        <v>30.544250000000002</v>
      </c>
      <c r="J11" s="6">
        <f t="shared" si="1"/>
        <v>42.869250000000001</v>
      </c>
      <c r="L11" t="s">
        <v>24</v>
      </c>
      <c r="R11" t="s">
        <v>24</v>
      </c>
      <c r="X11" s="4">
        <f t="shared" si="2"/>
        <v>0.44999999999999996</v>
      </c>
      <c r="Y11" s="4">
        <f t="shared" si="3"/>
        <v>0.45</v>
      </c>
      <c r="Z11" s="4">
        <f t="shared" si="4"/>
        <v>0.4499999999999999</v>
      </c>
    </row>
    <row r="12" spans="1:26" x14ac:dyDescent="0.25">
      <c r="B12" s="26">
        <f t="shared" si="6"/>
        <v>8</v>
      </c>
      <c r="C12" s="25">
        <f>5+(0.5*8)</f>
        <v>9</v>
      </c>
      <c r="D12" s="25">
        <f>5+(2.7*8)*0.85</f>
        <v>23.36</v>
      </c>
      <c r="E12" s="25">
        <f t="shared" si="0"/>
        <v>32.36</v>
      </c>
      <c r="F12" s="32"/>
      <c r="G12" s="5">
        <f t="shared" si="7"/>
        <v>8</v>
      </c>
      <c r="H12" s="38">
        <f>N8+(N9*8)</f>
        <v>13.05</v>
      </c>
      <c r="I12" s="38">
        <f>P17+(P18*8)*0.85</f>
        <v>33.872</v>
      </c>
      <c r="J12" s="6">
        <f t="shared" si="1"/>
        <v>46.921999999999997</v>
      </c>
      <c r="X12" s="4">
        <f t="shared" si="2"/>
        <v>0.44999999999999996</v>
      </c>
      <c r="Y12" s="4">
        <f t="shared" si="3"/>
        <v>0.45</v>
      </c>
      <c r="Z12" s="4">
        <f t="shared" si="4"/>
        <v>0.45000000000000007</v>
      </c>
    </row>
    <row r="13" spans="1:26" x14ac:dyDescent="0.25">
      <c r="B13" s="26">
        <f t="shared" si="6"/>
        <v>9</v>
      </c>
      <c r="C13" s="25">
        <f>5+(0.5*9)</f>
        <v>9.5</v>
      </c>
      <c r="D13" s="25">
        <f>5+(2.7*9)*0.85</f>
        <v>25.655000000000001</v>
      </c>
      <c r="E13" s="25">
        <f t="shared" si="0"/>
        <v>35.155000000000001</v>
      </c>
      <c r="F13" s="32"/>
      <c r="G13" s="5">
        <f t="shared" si="7"/>
        <v>9</v>
      </c>
      <c r="H13" s="38">
        <f>N8+(N9*9)</f>
        <v>13.774999999999999</v>
      </c>
      <c r="I13" s="38">
        <f>P17+(P18*9)*0.85</f>
        <v>37.199749999999995</v>
      </c>
      <c r="J13" s="6">
        <f t="shared" si="1"/>
        <v>50.974749999999993</v>
      </c>
      <c r="X13" s="4">
        <f t="shared" si="2"/>
        <v>0.44999999999999973</v>
      </c>
      <c r="Y13" s="4">
        <f t="shared" si="3"/>
        <v>0.44999999999999973</v>
      </c>
      <c r="Z13" s="4">
        <f t="shared" si="4"/>
        <v>0.44999999999999984</v>
      </c>
    </row>
    <row r="14" spans="1:26" ht="15.75" thickBot="1" x14ac:dyDescent="0.3">
      <c r="B14" s="26">
        <f t="shared" si="6"/>
        <v>10</v>
      </c>
      <c r="C14" s="25">
        <f>5+(0.5*10)</f>
        <v>10</v>
      </c>
      <c r="D14" s="25">
        <f>5+(2.7*10)*0.85</f>
        <v>27.95</v>
      </c>
      <c r="E14" s="25">
        <f t="shared" si="0"/>
        <v>37.950000000000003</v>
      </c>
      <c r="F14" s="32"/>
      <c r="G14" s="5">
        <f t="shared" si="7"/>
        <v>10</v>
      </c>
      <c r="H14" s="38">
        <f>N8+(N9*10)</f>
        <v>14.5</v>
      </c>
      <c r="I14" s="38">
        <f>P17+(P18*10)*0.85</f>
        <v>40.527499999999996</v>
      </c>
      <c r="J14" s="6">
        <f t="shared" si="1"/>
        <v>55.027499999999996</v>
      </c>
      <c r="L14" s="57" t="s">
        <v>21</v>
      </c>
      <c r="M14" s="57"/>
      <c r="N14" s="57"/>
      <c r="O14" s="57"/>
      <c r="P14" s="57"/>
      <c r="Q14" s="57"/>
      <c r="R14" s="57"/>
      <c r="S14" s="57"/>
      <c r="X14" s="4">
        <f t="shared" si="2"/>
        <v>0.44999999999999979</v>
      </c>
      <c r="Y14" s="4">
        <f t="shared" si="3"/>
        <v>0.4499999999999999</v>
      </c>
      <c r="Z14" s="4">
        <f t="shared" si="4"/>
        <v>0.45</v>
      </c>
    </row>
    <row r="15" spans="1:26" x14ac:dyDescent="0.25">
      <c r="B15" s="26">
        <f t="shared" si="6"/>
        <v>11</v>
      </c>
      <c r="C15" s="25">
        <f>5+(0.5*10)+(3.2*1)</f>
        <v>13.2</v>
      </c>
      <c r="D15" s="25">
        <f>5+(2.7*11)*0.85</f>
        <v>30.245000000000001</v>
      </c>
      <c r="E15" s="25">
        <f t="shared" si="0"/>
        <v>43.445</v>
      </c>
      <c r="F15" s="32"/>
      <c r="G15" s="5">
        <f t="shared" si="7"/>
        <v>11</v>
      </c>
      <c r="H15" s="38">
        <f>N8+(N9*10)+(N10*1)</f>
        <v>19.14</v>
      </c>
      <c r="I15" s="38">
        <f>P17+(P18*11)*0.85</f>
        <v>43.855249999999998</v>
      </c>
      <c r="J15" s="6">
        <f t="shared" si="1"/>
        <v>62.995249999999999</v>
      </c>
      <c r="L15" s="67" t="s">
        <v>3</v>
      </c>
      <c r="M15" s="68"/>
      <c r="N15" s="68"/>
      <c r="O15" s="69"/>
      <c r="P15" s="70" t="s">
        <v>19</v>
      </c>
      <c r="Q15" s="71"/>
      <c r="R15" s="72" t="s">
        <v>8</v>
      </c>
      <c r="S15" s="72"/>
      <c r="X15" s="4">
        <f t="shared" si="2"/>
        <v>0.44999999999999996</v>
      </c>
      <c r="Y15" s="4">
        <f t="shared" si="3"/>
        <v>0.4499999999999999</v>
      </c>
      <c r="Z15" s="4">
        <f t="shared" si="4"/>
        <v>0.45000000000000012</v>
      </c>
    </row>
    <row r="16" spans="1:26" ht="15.75" thickBot="1" x14ac:dyDescent="0.3">
      <c r="B16" s="26">
        <f t="shared" si="6"/>
        <v>12</v>
      </c>
      <c r="C16" s="25">
        <f>5+(0.5*10)+(3.2*2)</f>
        <v>16.399999999999999</v>
      </c>
      <c r="D16" s="25">
        <f>5+(2.7*12)*0.85</f>
        <v>32.540000000000006</v>
      </c>
      <c r="E16" s="25">
        <f t="shared" si="0"/>
        <v>48.940000000000005</v>
      </c>
      <c r="F16" s="32"/>
      <c r="G16" s="5">
        <f t="shared" si="7"/>
        <v>12</v>
      </c>
      <c r="H16" s="38">
        <f>N8+(N9*10)+(N10*2)</f>
        <v>23.78</v>
      </c>
      <c r="I16" s="38">
        <f>P17+(P18*12)*0.85</f>
        <v>47.183</v>
      </c>
      <c r="J16" s="6">
        <f t="shared" si="1"/>
        <v>70.962999999999994</v>
      </c>
      <c r="L16" s="83" t="s">
        <v>18</v>
      </c>
      <c r="M16" s="83"/>
      <c r="N16" s="83"/>
      <c r="O16" s="83"/>
      <c r="P16" s="125" t="s">
        <v>7</v>
      </c>
      <c r="Q16" s="126"/>
      <c r="R16" s="73"/>
      <c r="S16" s="73"/>
      <c r="X16" s="4">
        <f t="shared" si="2"/>
        <v>0.44999999999999973</v>
      </c>
      <c r="Y16" s="4">
        <f t="shared" si="3"/>
        <v>0.44999999999999973</v>
      </c>
      <c r="Z16" s="4">
        <f t="shared" si="4"/>
        <v>0.45000000000000018</v>
      </c>
    </row>
    <row r="17" spans="2:26" x14ac:dyDescent="0.25">
      <c r="B17" s="26">
        <f t="shared" si="6"/>
        <v>13</v>
      </c>
      <c r="C17" s="25">
        <f>5+(0.5*10)+(3.2*3)</f>
        <v>19.600000000000001</v>
      </c>
      <c r="D17" s="25">
        <f>5+(2.7*13)*0.85</f>
        <v>34.835000000000001</v>
      </c>
      <c r="E17" s="25">
        <f t="shared" si="0"/>
        <v>54.435000000000002</v>
      </c>
      <c r="F17" s="32"/>
      <c r="G17" s="5">
        <f t="shared" si="7"/>
        <v>13</v>
      </c>
      <c r="H17" s="38">
        <f>N8+(N9*10)+(N10*3)</f>
        <v>28.42</v>
      </c>
      <c r="I17" s="38">
        <f>P17+(P18*13)*0.85</f>
        <v>50.510750000000002</v>
      </c>
      <c r="J17" s="6">
        <f t="shared" si="1"/>
        <v>78.930750000000003</v>
      </c>
      <c r="L17" s="127" t="s">
        <v>29</v>
      </c>
      <c r="M17" s="128"/>
      <c r="N17" s="128"/>
      <c r="O17" s="128"/>
      <c r="P17" s="45">
        <f>(P24*0.45)+P24</f>
        <v>7.25</v>
      </c>
      <c r="Q17" s="14" t="s">
        <v>9</v>
      </c>
      <c r="R17" s="123"/>
      <c r="S17" s="124"/>
      <c r="U17" s="2"/>
      <c r="X17" s="4">
        <f t="shared" si="2"/>
        <v>0.45</v>
      </c>
      <c r="Y17" s="4">
        <f t="shared" si="3"/>
        <v>0.45</v>
      </c>
      <c r="Z17" s="4">
        <f t="shared" si="4"/>
        <v>0.44999999999999996</v>
      </c>
    </row>
    <row r="18" spans="2:26" x14ac:dyDescent="0.25">
      <c r="B18" s="26">
        <f t="shared" si="6"/>
        <v>14</v>
      </c>
      <c r="C18" s="25">
        <f>5+(0.5*10)+(3.2*4)</f>
        <v>22.8</v>
      </c>
      <c r="D18" s="25">
        <f>5+(2.7*14)*0.85</f>
        <v>37.130000000000003</v>
      </c>
      <c r="E18" s="25">
        <f t="shared" si="0"/>
        <v>59.930000000000007</v>
      </c>
      <c r="F18" s="32"/>
      <c r="G18" s="5">
        <f t="shared" si="7"/>
        <v>14</v>
      </c>
      <c r="H18" s="38">
        <f>N8+(N9*10)+(N10*4)</f>
        <v>33.06</v>
      </c>
      <c r="I18" s="38">
        <f>P17+(P18*14)*0.85</f>
        <v>53.838500000000003</v>
      </c>
      <c r="J18" s="6">
        <f t="shared" si="1"/>
        <v>86.898500000000013</v>
      </c>
      <c r="L18" s="110" t="s">
        <v>17</v>
      </c>
      <c r="M18" s="111"/>
      <c r="N18" s="111"/>
      <c r="O18" s="111"/>
      <c r="P18" s="46">
        <f t="shared" ref="P18:P20" si="8">(P25*0.45)+P25</f>
        <v>3.915</v>
      </c>
      <c r="Q18" s="37" t="s">
        <v>9</v>
      </c>
      <c r="R18" s="55">
        <v>0.85</v>
      </c>
      <c r="S18" s="56"/>
      <c r="U18" s="2"/>
      <c r="X18" s="4">
        <f t="shared" si="2"/>
        <v>0.45000000000000007</v>
      </c>
      <c r="Y18" s="4">
        <f t="shared" si="3"/>
        <v>0.45</v>
      </c>
      <c r="Z18" s="4">
        <f t="shared" si="4"/>
        <v>0.45000000000000007</v>
      </c>
    </row>
    <row r="19" spans="2:26" x14ac:dyDescent="0.25">
      <c r="B19" s="26">
        <f t="shared" si="6"/>
        <v>15</v>
      </c>
      <c r="C19" s="25">
        <f>5+(0.5*10)+(3.2*5)</f>
        <v>26</v>
      </c>
      <c r="D19" s="25">
        <f>5+(2.7*15)*0.85</f>
        <v>39.424999999999997</v>
      </c>
      <c r="E19" s="25">
        <f t="shared" si="0"/>
        <v>65.424999999999997</v>
      </c>
      <c r="F19" s="32"/>
      <c r="G19" s="5">
        <f t="shared" si="7"/>
        <v>15</v>
      </c>
      <c r="H19" s="38">
        <f>N8+(N9*10)+(N10*5)</f>
        <v>37.700000000000003</v>
      </c>
      <c r="I19" s="38">
        <f>P17+(P18*15)*0.85</f>
        <v>57.166249999999998</v>
      </c>
      <c r="J19" s="6">
        <f t="shared" si="1"/>
        <v>94.866250000000008</v>
      </c>
      <c r="L19" s="98" t="s">
        <v>28</v>
      </c>
      <c r="M19" s="99"/>
      <c r="N19" s="99"/>
      <c r="O19" s="99"/>
      <c r="P19" s="46">
        <f t="shared" si="8"/>
        <v>3.915</v>
      </c>
      <c r="Q19" s="12" t="s">
        <v>10</v>
      </c>
      <c r="R19" s="79">
        <v>0.4</v>
      </c>
      <c r="S19" s="80"/>
      <c r="X19" s="4">
        <f t="shared" si="2"/>
        <v>0.45000000000000018</v>
      </c>
      <c r="Y19" s="4">
        <f t="shared" si="3"/>
        <v>0.45000000000000007</v>
      </c>
      <c r="Z19" s="4">
        <f t="shared" si="4"/>
        <v>0.45000000000000012</v>
      </c>
    </row>
    <row r="20" spans="2:26" ht="15.75" thickBot="1" x14ac:dyDescent="0.3">
      <c r="B20" s="26">
        <f t="shared" si="6"/>
        <v>16</v>
      </c>
      <c r="C20" s="25">
        <f>5+(0.5*10)+(3.2*6)</f>
        <v>29.200000000000003</v>
      </c>
      <c r="D20" s="25">
        <f>5+(2.7*16)*0.85</f>
        <v>41.72</v>
      </c>
      <c r="E20" s="25">
        <f t="shared" si="0"/>
        <v>70.92</v>
      </c>
      <c r="F20" s="32"/>
      <c r="G20" s="5">
        <f t="shared" si="7"/>
        <v>16</v>
      </c>
      <c r="H20" s="38">
        <f>N8+(N9*10)+(N10*6)</f>
        <v>42.34</v>
      </c>
      <c r="I20" s="38">
        <f>P17+(P18*16)*0.85</f>
        <v>60.494</v>
      </c>
      <c r="J20" s="6">
        <f t="shared" si="1"/>
        <v>102.834</v>
      </c>
      <c r="L20" s="100" t="s">
        <v>23</v>
      </c>
      <c r="M20" s="101"/>
      <c r="N20" s="101"/>
      <c r="O20" s="101"/>
      <c r="P20" s="47">
        <f t="shared" si="8"/>
        <v>3.915</v>
      </c>
      <c r="Q20" s="13" t="s">
        <v>10</v>
      </c>
      <c r="R20" s="58">
        <v>0.25</v>
      </c>
      <c r="S20" s="59"/>
      <c r="X20" s="4">
        <f t="shared" si="2"/>
        <v>0.45</v>
      </c>
      <c r="Y20" s="4">
        <f t="shared" si="3"/>
        <v>0.45</v>
      </c>
      <c r="Z20" s="4">
        <f t="shared" si="4"/>
        <v>0.44999999999999996</v>
      </c>
    </row>
    <row r="21" spans="2:26" ht="15.75" thickBot="1" x14ac:dyDescent="0.3">
      <c r="B21" s="26">
        <f t="shared" si="6"/>
        <v>17</v>
      </c>
      <c r="C21" s="25">
        <f>5+(0.5*10)+(3.2*7)</f>
        <v>32.400000000000006</v>
      </c>
      <c r="D21" s="25">
        <f>5+(2.7*17)*0.85</f>
        <v>44.015000000000001</v>
      </c>
      <c r="E21" s="25">
        <f t="shared" si="0"/>
        <v>76.415000000000006</v>
      </c>
      <c r="F21" s="32"/>
      <c r="G21" s="5">
        <f t="shared" si="7"/>
        <v>17</v>
      </c>
      <c r="H21" s="38">
        <f>N8+(N9*10)+(N10*7)</f>
        <v>46.980000000000004</v>
      </c>
      <c r="I21" s="38">
        <f>P17+(P18*17)*0.85</f>
        <v>63.821750000000002</v>
      </c>
      <c r="J21" s="6">
        <f t="shared" si="1"/>
        <v>110.80175</v>
      </c>
      <c r="X21" s="4">
        <f t="shared" si="2"/>
        <v>0.44999999999999984</v>
      </c>
      <c r="Y21" s="4">
        <f t="shared" si="3"/>
        <v>0.45</v>
      </c>
      <c r="Z21" s="4">
        <f t="shared" si="4"/>
        <v>0.44999999999999984</v>
      </c>
    </row>
    <row r="22" spans="2:26" x14ac:dyDescent="0.25">
      <c r="B22" s="26">
        <f t="shared" si="6"/>
        <v>18</v>
      </c>
      <c r="C22" s="25">
        <f>5+(0.5*10)+(3.2*8)</f>
        <v>35.6</v>
      </c>
      <c r="D22" s="25">
        <f>5+(2.7*18)*0.85</f>
        <v>46.31</v>
      </c>
      <c r="E22" s="25">
        <f t="shared" si="0"/>
        <v>81.91</v>
      </c>
      <c r="F22" s="32"/>
      <c r="G22" s="5">
        <f t="shared" si="7"/>
        <v>18</v>
      </c>
      <c r="H22" s="38">
        <f>N8+(N9*10)+(N10*8)</f>
        <v>51.620000000000005</v>
      </c>
      <c r="I22" s="38">
        <f>P17+(P18*18)*0.85</f>
        <v>67.149499999999989</v>
      </c>
      <c r="J22" s="6">
        <f t="shared" si="1"/>
        <v>118.76949999999999</v>
      </c>
      <c r="L22" s="88" t="s">
        <v>3</v>
      </c>
      <c r="M22" s="89"/>
      <c r="N22" s="89"/>
      <c r="O22" s="90"/>
      <c r="P22" s="91" t="s">
        <v>19</v>
      </c>
      <c r="Q22" s="92"/>
      <c r="R22" s="75" t="s">
        <v>8</v>
      </c>
      <c r="S22" s="75"/>
      <c r="X22" s="4">
        <f t="shared" si="2"/>
        <v>0.44999999999999996</v>
      </c>
      <c r="Y22" s="4">
        <f t="shared" si="3"/>
        <v>0.44999999999999968</v>
      </c>
      <c r="Z22" s="4">
        <f t="shared" si="4"/>
        <v>0.45000000000000007</v>
      </c>
    </row>
    <row r="23" spans="2:26" ht="15.75" thickBot="1" x14ac:dyDescent="0.3">
      <c r="B23" s="26">
        <f t="shared" si="6"/>
        <v>19</v>
      </c>
      <c r="C23" s="25">
        <f>5+(0.5*10)+(3.2*9)</f>
        <v>38.799999999999997</v>
      </c>
      <c r="D23" s="25">
        <f>5+(2.7*19)*0.85</f>
        <v>48.605000000000004</v>
      </c>
      <c r="E23" s="25">
        <f t="shared" si="0"/>
        <v>87.405000000000001</v>
      </c>
      <c r="F23" s="32"/>
      <c r="G23" s="5">
        <f t="shared" si="7"/>
        <v>19</v>
      </c>
      <c r="H23" s="38">
        <f>N8+(N9*10)+(N10*9)</f>
        <v>56.260000000000005</v>
      </c>
      <c r="I23" s="38">
        <f>P17+(P18*19)*0.85</f>
        <v>70.477249999999998</v>
      </c>
      <c r="J23" s="6">
        <f t="shared" si="1"/>
        <v>126.73725</v>
      </c>
      <c r="L23" s="95" t="s">
        <v>18</v>
      </c>
      <c r="M23" s="95"/>
      <c r="N23" s="95"/>
      <c r="O23" s="95"/>
      <c r="P23" s="96" t="s">
        <v>7</v>
      </c>
      <c r="Q23" s="97"/>
      <c r="R23" s="76"/>
      <c r="S23" s="76"/>
      <c r="X23" s="4">
        <f t="shared" si="2"/>
        <v>0.45</v>
      </c>
      <c r="Y23" s="4">
        <f t="shared" si="3"/>
        <v>0.44999999999999984</v>
      </c>
      <c r="Z23" s="4">
        <f t="shared" si="4"/>
        <v>0.45000000000000023</v>
      </c>
    </row>
    <row r="24" spans="2:26" x14ac:dyDescent="0.25">
      <c r="B24" s="26">
        <f t="shared" si="6"/>
        <v>20</v>
      </c>
      <c r="C24" s="25">
        <f>5+(0.5*10)+(3.2*10)</f>
        <v>42</v>
      </c>
      <c r="D24" s="25">
        <f>5+(2.7*20)*0.85</f>
        <v>50.9</v>
      </c>
      <c r="E24" s="25">
        <f t="shared" si="0"/>
        <v>92.9</v>
      </c>
      <c r="F24" s="32"/>
      <c r="G24" s="5">
        <f t="shared" si="7"/>
        <v>20</v>
      </c>
      <c r="H24" s="38">
        <f>N8+(N9*10)+(N10*10)</f>
        <v>60.900000000000006</v>
      </c>
      <c r="I24" s="38">
        <f>P17+(P18*20)*0.85</f>
        <v>73.804999999999993</v>
      </c>
      <c r="J24" s="6">
        <f t="shared" si="1"/>
        <v>134.70499999999998</v>
      </c>
      <c r="L24" s="93" t="s">
        <v>29</v>
      </c>
      <c r="M24" s="94"/>
      <c r="N24" s="94"/>
      <c r="O24" s="94"/>
      <c r="P24" s="36">
        <v>5</v>
      </c>
      <c r="Q24" s="23" t="s">
        <v>9</v>
      </c>
      <c r="R24" s="81"/>
      <c r="S24" s="82"/>
      <c r="X24" s="4">
        <f t="shared" si="2"/>
        <v>0.44999999999999973</v>
      </c>
      <c r="Y24" s="4">
        <f t="shared" si="3"/>
        <v>0.4499999999999999</v>
      </c>
      <c r="Z24" s="4">
        <f t="shared" si="4"/>
        <v>0.45000000000000012</v>
      </c>
    </row>
    <row r="25" spans="2:26" x14ac:dyDescent="0.25">
      <c r="B25" s="26">
        <f t="shared" si="6"/>
        <v>21</v>
      </c>
      <c r="C25" s="25">
        <f>5+(0.5*10)+(3.2*11)</f>
        <v>45.2</v>
      </c>
      <c r="D25" s="25">
        <f>5+(2.7*20)*0.85+(2.7*1)*0.4</f>
        <v>51.98</v>
      </c>
      <c r="E25" s="25">
        <f t="shared" si="0"/>
        <v>97.18</v>
      </c>
      <c r="F25" s="32"/>
      <c r="G25" s="5">
        <f t="shared" si="7"/>
        <v>21</v>
      </c>
      <c r="H25" s="38">
        <f>N8+(N9*10)+(N10*11)</f>
        <v>65.540000000000006</v>
      </c>
      <c r="I25" s="38">
        <f>P17+(P18*20)*0.85+(P19*1)*0.4</f>
        <v>75.370999999999995</v>
      </c>
      <c r="J25" s="6">
        <f t="shared" si="1"/>
        <v>140.911</v>
      </c>
      <c r="L25" s="102" t="s">
        <v>17</v>
      </c>
      <c r="M25" s="103"/>
      <c r="N25" s="103"/>
      <c r="O25" s="103"/>
      <c r="P25" s="18">
        <v>2.7</v>
      </c>
      <c r="Q25" s="35" t="s">
        <v>11</v>
      </c>
      <c r="R25" s="60">
        <v>0.85</v>
      </c>
      <c r="S25" s="61"/>
      <c r="X25" s="4">
        <f t="shared" si="2"/>
        <v>0.4499999999999999</v>
      </c>
      <c r="Y25" s="4">
        <f t="shared" si="3"/>
        <v>0.45</v>
      </c>
      <c r="Z25" s="4">
        <f t="shared" si="4"/>
        <v>0.45000000000000007</v>
      </c>
    </row>
    <row r="26" spans="2:26" x14ac:dyDescent="0.25">
      <c r="B26" s="26">
        <f t="shared" si="6"/>
        <v>22</v>
      </c>
      <c r="C26" s="25">
        <f>5+(0.5*10)+(3.2*12)</f>
        <v>48.400000000000006</v>
      </c>
      <c r="D26" s="25">
        <f>5+(2.7*20)*0.85+(2.7*2)*0.4</f>
        <v>53.06</v>
      </c>
      <c r="E26" s="25">
        <f t="shared" si="0"/>
        <v>101.46000000000001</v>
      </c>
      <c r="F26" s="32"/>
      <c r="G26" s="5">
        <f t="shared" si="7"/>
        <v>22</v>
      </c>
      <c r="H26" s="38">
        <f>N8+(N9*10)+(N10*12)</f>
        <v>70.180000000000007</v>
      </c>
      <c r="I26" s="38">
        <f>P17+(P18*20)*0.85+(P19*2)*0.4</f>
        <v>76.936999999999998</v>
      </c>
      <c r="J26" s="6">
        <f t="shared" si="1"/>
        <v>147.11700000000002</v>
      </c>
      <c r="L26" s="84" t="s">
        <v>28</v>
      </c>
      <c r="M26" s="85"/>
      <c r="N26" s="85"/>
      <c r="O26" s="85"/>
      <c r="P26" s="20">
        <v>2.7</v>
      </c>
      <c r="Q26" s="19" t="s">
        <v>10</v>
      </c>
      <c r="R26" s="62">
        <v>0.4</v>
      </c>
      <c r="S26" s="63"/>
      <c r="X26" s="4">
        <f t="shared" si="2"/>
        <v>0.45000000000000007</v>
      </c>
      <c r="Y26" s="4">
        <f t="shared" si="3"/>
        <v>0.4499999999999999</v>
      </c>
      <c r="Z26" s="4">
        <f t="shared" si="4"/>
        <v>0.44999999999999996</v>
      </c>
    </row>
    <row r="27" spans="2:26" ht="15.75" thickBot="1" x14ac:dyDescent="0.3">
      <c r="B27" s="26">
        <f t="shared" si="6"/>
        <v>23</v>
      </c>
      <c r="C27" s="25">
        <f>5+(0.5*10)+(3.2*13)</f>
        <v>51.6</v>
      </c>
      <c r="D27" s="25">
        <f>5+(2.7*20)*0.85+(2.7*3)*0.4</f>
        <v>54.14</v>
      </c>
      <c r="E27" s="25">
        <f t="shared" si="0"/>
        <v>105.74000000000001</v>
      </c>
      <c r="F27" s="32"/>
      <c r="G27" s="5">
        <f t="shared" si="7"/>
        <v>23</v>
      </c>
      <c r="H27" s="38">
        <f>N8+(N9*10)+(N10*13)</f>
        <v>74.820000000000007</v>
      </c>
      <c r="I27" s="38">
        <f>P17+(P18*20)*0.85+(P19*3)*0.4</f>
        <v>78.502999999999986</v>
      </c>
      <c r="J27" s="6">
        <f t="shared" si="1"/>
        <v>153.32299999999998</v>
      </c>
      <c r="L27" s="86" t="s">
        <v>23</v>
      </c>
      <c r="M27" s="87"/>
      <c r="N27" s="87"/>
      <c r="O27" s="87"/>
      <c r="P27" s="22">
        <v>2.7</v>
      </c>
      <c r="Q27" s="21" t="s">
        <v>10</v>
      </c>
      <c r="R27" s="64">
        <v>0.25</v>
      </c>
      <c r="S27" s="65"/>
      <c r="X27" s="4">
        <f t="shared" si="2"/>
        <v>0.44999999999999968</v>
      </c>
      <c r="Y27" s="4">
        <f t="shared" si="3"/>
        <v>0.44999999999999973</v>
      </c>
      <c r="Z27" s="4">
        <f t="shared" si="4"/>
        <v>0.45000000000000012</v>
      </c>
    </row>
    <row r="28" spans="2:26" x14ac:dyDescent="0.25">
      <c r="B28" s="26">
        <f t="shared" si="6"/>
        <v>24</v>
      </c>
      <c r="C28" s="25">
        <f>5+(0.5*10)+(3.2*14)</f>
        <v>54.800000000000004</v>
      </c>
      <c r="D28" s="25">
        <f>5+(2.7*20)*0.85+(2.7*4)*0.4</f>
        <v>55.22</v>
      </c>
      <c r="E28" s="25">
        <f t="shared" si="0"/>
        <v>110.02000000000001</v>
      </c>
      <c r="F28" s="32"/>
      <c r="G28" s="5">
        <f t="shared" si="7"/>
        <v>24</v>
      </c>
      <c r="H28" s="38">
        <f>N8+(N9*10)+(N10*14)</f>
        <v>79.460000000000008</v>
      </c>
      <c r="I28" s="38">
        <f>P17+(P18*20)*0.85+(P19*4)*0.4</f>
        <v>80.068999999999988</v>
      </c>
      <c r="J28" s="6">
        <f t="shared" si="1"/>
        <v>159.529</v>
      </c>
      <c r="X28" s="4">
        <f t="shared" si="2"/>
        <v>0.44999999999999984</v>
      </c>
      <c r="Y28" s="4">
        <f t="shared" si="3"/>
        <v>0.44999999999999984</v>
      </c>
      <c r="Z28" s="4">
        <f t="shared" si="4"/>
        <v>0.45</v>
      </c>
    </row>
    <row r="29" spans="2:26" x14ac:dyDescent="0.25">
      <c r="B29" s="26">
        <f t="shared" si="6"/>
        <v>25</v>
      </c>
      <c r="C29" s="25">
        <f>5+(0.5*10)+(3.2*15)</f>
        <v>58</v>
      </c>
      <c r="D29" s="25">
        <f>5+(2.7*20)*0.85+(2.7*5)*0.4</f>
        <v>56.3</v>
      </c>
      <c r="E29" s="25">
        <f t="shared" si="0"/>
        <v>114.3</v>
      </c>
      <c r="F29" s="32"/>
      <c r="G29" s="5">
        <f t="shared" si="7"/>
        <v>25</v>
      </c>
      <c r="H29" s="38">
        <f>N8+(N9*10)+(N10*15)</f>
        <v>84.100000000000009</v>
      </c>
      <c r="I29" s="38">
        <f>P17+(P18*20)*0.85+(P19*5)*0.4</f>
        <v>81.634999999999991</v>
      </c>
      <c r="J29" s="6">
        <f t="shared" si="1"/>
        <v>165.73500000000001</v>
      </c>
      <c r="X29" s="4">
        <f t="shared" si="2"/>
        <v>0.45000000000000018</v>
      </c>
      <c r="Y29" s="4">
        <f t="shared" si="3"/>
        <v>0.4499999999999999</v>
      </c>
      <c r="Z29" s="4">
        <f t="shared" si="4"/>
        <v>0.45000000000000012</v>
      </c>
    </row>
    <row r="30" spans="2:26" x14ac:dyDescent="0.25">
      <c r="B30" s="26">
        <f t="shared" si="6"/>
        <v>26</v>
      </c>
      <c r="C30" s="25">
        <f>5+(0.5*10)+(3.2*16)</f>
        <v>61.2</v>
      </c>
      <c r="D30" s="25">
        <f>5+(2.7*20)*0.85+(2.7*6)*0.4</f>
        <v>57.38</v>
      </c>
      <c r="E30" s="25">
        <f t="shared" si="0"/>
        <v>118.58000000000001</v>
      </c>
      <c r="F30" s="32"/>
      <c r="G30" s="5">
        <f t="shared" si="7"/>
        <v>26</v>
      </c>
      <c r="H30" s="38">
        <f>N8+(N9*10)+(N10*16)</f>
        <v>88.740000000000009</v>
      </c>
      <c r="I30" s="38">
        <f>P17+(P18*20)*0.85+(P19*6)*0.4</f>
        <v>83.200999999999993</v>
      </c>
      <c r="J30" s="6">
        <f t="shared" si="1"/>
        <v>171.941</v>
      </c>
      <c r="L30" s="66" t="s">
        <v>32</v>
      </c>
      <c r="M30" s="66"/>
      <c r="N30" s="66"/>
      <c r="O30" s="66"/>
      <c r="P30" s="66"/>
      <c r="Q30" s="66"/>
      <c r="R30" s="66"/>
      <c r="S30" s="66"/>
      <c r="X30" s="4">
        <f t="shared" si="2"/>
        <v>0.44999999999999984</v>
      </c>
      <c r="Y30" s="4">
        <f t="shared" si="3"/>
        <v>0.44999999999999984</v>
      </c>
      <c r="Z30" s="4">
        <f t="shared" si="4"/>
        <v>0.45000000000000007</v>
      </c>
    </row>
    <row r="31" spans="2:26" x14ac:dyDescent="0.25">
      <c r="B31" s="26">
        <f t="shared" si="6"/>
        <v>27</v>
      </c>
      <c r="C31" s="25">
        <f>5+(0.5*10)+(3.2*17)</f>
        <v>64.400000000000006</v>
      </c>
      <c r="D31" s="25">
        <f>5+(2.7*20)*0.85+(2.7*7)*0.4</f>
        <v>58.46</v>
      </c>
      <c r="E31" s="25">
        <f t="shared" si="0"/>
        <v>122.86000000000001</v>
      </c>
      <c r="F31" s="32"/>
      <c r="G31" s="5">
        <f t="shared" si="7"/>
        <v>27</v>
      </c>
      <c r="H31" s="38">
        <f>N8+(N9*10)+(N10*17)</f>
        <v>93.38000000000001</v>
      </c>
      <c r="I31" s="38">
        <f>P17+(P18*20)*0.85+(P19*7)*0.4</f>
        <v>84.766999999999996</v>
      </c>
      <c r="J31" s="6">
        <f t="shared" si="1"/>
        <v>178.14699999999999</v>
      </c>
      <c r="L31" s="66"/>
      <c r="M31" s="66"/>
      <c r="N31" s="66"/>
      <c r="O31" s="66"/>
      <c r="P31" s="66"/>
      <c r="Q31" s="66"/>
      <c r="R31" s="66"/>
      <c r="S31" s="66"/>
      <c r="X31" s="4">
        <f t="shared" si="2"/>
        <v>0.44999999999999979</v>
      </c>
      <c r="Y31" s="4">
        <f t="shared" si="3"/>
        <v>0.4499999999999999</v>
      </c>
      <c r="Z31" s="4">
        <f t="shared" si="4"/>
        <v>0.45</v>
      </c>
    </row>
    <row r="32" spans="2:26" x14ac:dyDescent="0.25">
      <c r="B32" s="26">
        <f t="shared" si="6"/>
        <v>28</v>
      </c>
      <c r="C32" s="25">
        <f>5+(0.5*10)+(3.2*18)</f>
        <v>67.599999999999994</v>
      </c>
      <c r="D32" s="25">
        <f>5+(2.7*20)*0.85+(2.7*8)*0.4</f>
        <v>59.54</v>
      </c>
      <c r="E32" s="25">
        <f t="shared" si="0"/>
        <v>127.13999999999999</v>
      </c>
      <c r="F32" s="32"/>
      <c r="G32" s="5">
        <f t="shared" si="7"/>
        <v>28</v>
      </c>
      <c r="H32" s="38">
        <f>N8+(N9*10)+(N10*18)</f>
        <v>98.02000000000001</v>
      </c>
      <c r="I32" s="38">
        <f>P17+(P18*20)*0.85+(P19*8)*0.4</f>
        <v>86.332999999999998</v>
      </c>
      <c r="J32" s="6">
        <f t="shared" si="1"/>
        <v>184.35300000000001</v>
      </c>
      <c r="L32" s="66"/>
      <c r="M32" s="66"/>
      <c r="N32" s="66"/>
      <c r="O32" s="66"/>
      <c r="P32" s="66"/>
      <c r="Q32" s="66"/>
      <c r="R32" s="66"/>
      <c r="S32" s="66"/>
      <c r="X32" s="4">
        <f t="shared" si="2"/>
        <v>0.45000000000000023</v>
      </c>
      <c r="Y32" s="4">
        <f t="shared" si="3"/>
        <v>0.45</v>
      </c>
      <c r="Z32" s="4">
        <f t="shared" si="4"/>
        <v>0.45000000000000029</v>
      </c>
    </row>
    <row r="33" spans="2:26" x14ac:dyDescent="0.25">
      <c r="B33" s="26">
        <f t="shared" si="6"/>
        <v>29</v>
      </c>
      <c r="C33" s="25">
        <f>5+(0.5*10)+(3.2*19)</f>
        <v>70.800000000000011</v>
      </c>
      <c r="D33" s="25">
        <f>5+(2.7*20)*0.85+(2.7*9)*0.4</f>
        <v>60.62</v>
      </c>
      <c r="E33" s="25">
        <f t="shared" si="0"/>
        <v>131.42000000000002</v>
      </c>
      <c r="F33" s="32"/>
      <c r="G33" s="5">
        <f t="shared" si="7"/>
        <v>29</v>
      </c>
      <c r="H33" s="38">
        <f>N8+(N9*10)+(N10*19)</f>
        <v>102.66000000000001</v>
      </c>
      <c r="I33" s="38">
        <f>P17+(P18*20)*0.85+(P19*9)*0.4</f>
        <v>87.899000000000001</v>
      </c>
      <c r="J33" s="6">
        <f t="shared" si="1"/>
        <v>190.55900000000003</v>
      </c>
      <c r="L33" s="66"/>
      <c r="M33" s="66"/>
      <c r="N33" s="66"/>
      <c r="O33" s="66"/>
      <c r="P33" s="66"/>
      <c r="Q33" s="66"/>
      <c r="R33" s="66"/>
      <c r="S33" s="66"/>
      <c r="X33" s="4">
        <f t="shared" si="2"/>
        <v>0.45</v>
      </c>
      <c r="Y33" s="4">
        <f t="shared" si="3"/>
        <v>0.45000000000000007</v>
      </c>
      <c r="Z33" s="4">
        <f t="shared" si="4"/>
        <v>0.4499999999999999</v>
      </c>
    </row>
    <row r="34" spans="2:26" x14ac:dyDescent="0.25">
      <c r="B34" s="26">
        <f t="shared" si="6"/>
        <v>30</v>
      </c>
      <c r="C34" s="25">
        <f>5+(0.5*10)+(3.2*20)</f>
        <v>74</v>
      </c>
      <c r="D34" s="25">
        <f>5+(2.7*20)*0.85+(2.7*10)*0.4</f>
        <v>61.7</v>
      </c>
      <c r="E34" s="25">
        <f t="shared" si="0"/>
        <v>135.69999999999999</v>
      </c>
      <c r="F34" s="32"/>
      <c r="G34" s="5">
        <f t="shared" si="7"/>
        <v>30</v>
      </c>
      <c r="H34" s="38">
        <f>N8+(N9*10)+(N10*20)</f>
        <v>107.30000000000001</v>
      </c>
      <c r="I34" s="38">
        <f>P17+(P18*20)*0.85+(P19*10)*0.4</f>
        <v>89.464999999999989</v>
      </c>
      <c r="J34" s="6">
        <f t="shared" si="1"/>
        <v>196.76499999999999</v>
      </c>
      <c r="L34" s="66"/>
      <c r="M34" s="66"/>
      <c r="N34" s="66"/>
      <c r="O34" s="66"/>
      <c r="P34" s="66"/>
      <c r="Q34" s="66"/>
      <c r="R34" s="66"/>
      <c r="S34" s="66"/>
      <c r="X34" s="4">
        <f t="shared" si="2"/>
        <v>0.45</v>
      </c>
      <c r="Y34" s="4">
        <f t="shared" si="3"/>
        <v>0.44999999999999973</v>
      </c>
      <c r="Z34" s="4">
        <f t="shared" si="4"/>
        <v>0.45000000000000018</v>
      </c>
    </row>
    <row r="35" spans="2:26" x14ac:dyDescent="0.25">
      <c r="B35" s="26">
        <f t="shared" si="6"/>
        <v>31</v>
      </c>
      <c r="C35" s="25">
        <f>5+(0.5*10)+(3.2*21)</f>
        <v>77.2</v>
      </c>
      <c r="D35" s="25">
        <f>5+(2.7*20)*0.85+(2.7*10)*0.4+(2.7*1)*0.25</f>
        <v>62.375</v>
      </c>
      <c r="E35" s="25">
        <f t="shared" si="0"/>
        <v>139.57499999999999</v>
      </c>
      <c r="F35" s="32"/>
      <c r="G35" s="5">
        <f t="shared" si="7"/>
        <v>31</v>
      </c>
      <c r="H35" s="38">
        <f>N8+(N9*10)+(N10*21)</f>
        <v>111.94000000000001</v>
      </c>
      <c r="I35" s="38">
        <f>P17+(P18*20)*0.85+(P19*10)*0.4+(P20*1)*0.25</f>
        <v>90.443749999999994</v>
      </c>
      <c r="J35" s="6">
        <f t="shared" si="1"/>
        <v>202.38375000000002</v>
      </c>
      <c r="X35" s="4">
        <f t="shared" si="2"/>
        <v>0.45000000000000029</v>
      </c>
      <c r="Y35" s="4">
        <f t="shared" si="3"/>
        <v>0.4499999999999999</v>
      </c>
      <c r="Z35" s="4">
        <f t="shared" si="4"/>
        <v>0.45000000000000012</v>
      </c>
    </row>
    <row r="36" spans="2:26" x14ac:dyDescent="0.25">
      <c r="B36" s="26">
        <f t="shared" si="6"/>
        <v>32</v>
      </c>
      <c r="C36" s="25">
        <f>5+(0.5*10)+(3.2*22)</f>
        <v>80.400000000000006</v>
      </c>
      <c r="D36" s="25">
        <f>5+(2.7*20)*0.85+(2.7*10)*0.4+(2.7*2)*0.25</f>
        <v>63.050000000000004</v>
      </c>
      <c r="E36" s="25">
        <f t="shared" ref="E36:E54" si="9">D36+C36</f>
        <v>143.45000000000002</v>
      </c>
      <c r="F36" s="32"/>
      <c r="G36" s="5">
        <f t="shared" si="7"/>
        <v>32</v>
      </c>
      <c r="H36" s="38">
        <f>N8+(N9*10)+(N10*22)</f>
        <v>116.58000000000001</v>
      </c>
      <c r="I36" s="38">
        <f>P17+(P18*20)*0.85+(P19*10)*0.4+(P20*2)*0.25</f>
        <v>91.422499999999985</v>
      </c>
      <c r="J36" s="6">
        <f t="shared" ref="J36:J54" si="10">I36+H36</f>
        <v>208.0025</v>
      </c>
      <c r="L36" s="74" t="s">
        <v>33</v>
      </c>
      <c r="M36" s="74"/>
      <c r="N36" s="74"/>
      <c r="O36" s="74"/>
      <c r="P36" s="74"/>
      <c r="Q36" s="74"/>
      <c r="R36" s="74"/>
      <c r="S36" s="74"/>
      <c r="X36" s="4">
        <f t="shared" ref="X36:X54" si="11">(J36-E36)/E36</f>
        <v>0.44999999999999979</v>
      </c>
      <c r="Y36" s="4">
        <f t="shared" ref="Y36:Y54" si="12">(I36-D36)/D36</f>
        <v>0.44999999999999968</v>
      </c>
      <c r="Z36" s="4">
        <f t="shared" ref="Z36:Z54" si="13">(H36-C36)/C36</f>
        <v>0.45000000000000007</v>
      </c>
    </row>
    <row r="37" spans="2:26" x14ac:dyDescent="0.25">
      <c r="B37" s="26">
        <f t="shared" si="6"/>
        <v>33</v>
      </c>
      <c r="C37" s="25">
        <f>5+(0.5*10)+(3.2*23)</f>
        <v>83.600000000000009</v>
      </c>
      <c r="D37" s="25">
        <f>5+(2.7*20)*0.85+(2.7*10)*0.4+(2.7*3)*0.25</f>
        <v>63.725000000000001</v>
      </c>
      <c r="E37" s="25">
        <f t="shared" si="9"/>
        <v>147.32500000000002</v>
      </c>
      <c r="F37" s="32"/>
      <c r="G37" s="5">
        <f t="shared" si="7"/>
        <v>33</v>
      </c>
      <c r="H37" s="38">
        <f>N8+(N9*10)+(N10*23)</f>
        <v>121.22000000000001</v>
      </c>
      <c r="I37" s="38">
        <f>P17+(P18*20)*0.85+(P19*10)*0.4+(P20*3)*0.25</f>
        <v>92.40124999999999</v>
      </c>
      <c r="J37" s="6">
        <f t="shared" si="10"/>
        <v>213.62125</v>
      </c>
      <c r="L37" s="74"/>
      <c r="M37" s="74"/>
      <c r="N37" s="74"/>
      <c r="O37" s="74"/>
      <c r="P37" s="74"/>
      <c r="Q37" s="74"/>
      <c r="R37" s="74"/>
      <c r="S37" s="74"/>
      <c r="X37" s="4">
        <f t="shared" si="11"/>
        <v>0.44999999999999984</v>
      </c>
      <c r="Y37" s="4">
        <f t="shared" si="12"/>
        <v>0.44999999999999979</v>
      </c>
      <c r="Z37" s="4">
        <f t="shared" si="13"/>
        <v>0.45</v>
      </c>
    </row>
    <row r="38" spans="2:26" x14ac:dyDescent="0.25">
      <c r="B38" s="26">
        <f t="shared" si="6"/>
        <v>34</v>
      </c>
      <c r="C38" s="25">
        <f>5+(0.5*10)+(3.2*24)</f>
        <v>86.800000000000011</v>
      </c>
      <c r="D38" s="25">
        <f>5+(2.7*20)*0.85+(2.7*10)*0.4+(2.7*4)*0.25</f>
        <v>64.400000000000006</v>
      </c>
      <c r="E38" s="25">
        <f t="shared" si="9"/>
        <v>151.20000000000002</v>
      </c>
      <c r="F38" s="32"/>
      <c r="G38" s="5">
        <f t="shared" si="7"/>
        <v>34</v>
      </c>
      <c r="H38" s="38">
        <f>N8+(N9*10)+(N10*24)</f>
        <v>125.86000000000001</v>
      </c>
      <c r="I38" s="38">
        <f>P17+(P18*20)*0.85+(P19*10)*0.4+(P20*4)*0.25</f>
        <v>93.38</v>
      </c>
      <c r="J38" s="6">
        <f t="shared" si="10"/>
        <v>219.24</v>
      </c>
      <c r="L38" s="74"/>
      <c r="M38" s="74"/>
      <c r="N38" s="74"/>
      <c r="O38" s="74"/>
      <c r="P38" s="74"/>
      <c r="Q38" s="74"/>
      <c r="R38" s="74"/>
      <c r="S38" s="74"/>
      <c r="X38" s="4">
        <f t="shared" si="11"/>
        <v>0.4499999999999999</v>
      </c>
      <c r="Y38" s="4">
        <f t="shared" si="12"/>
        <v>0.44999999999999979</v>
      </c>
      <c r="Z38" s="4">
        <f t="shared" si="13"/>
        <v>0.44999999999999996</v>
      </c>
    </row>
    <row r="39" spans="2:26" x14ac:dyDescent="0.25">
      <c r="B39" s="26">
        <f t="shared" si="6"/>
        <v>35</v>
      </c>
      <c r="C39" s="25">
        <f>5+(0.5*10)+(3.2*25)</f>
        <v>90</v>
      </c>
      <c r="D39" s="25">
        <f>5+(2.7*20)*0.85+(2.7*10)*0.4+(2.7*5)*0.25</f>
        <v>65.075000000000003</v>
      </c>
      <c r="E39" s="25">
        <f t="shared" si="9"/>
        <v>155.07499999999999</v>
      </c>
      <c r="F39" s="32"/>
      <c r="G39" s="5">
        <f t="shared" si="7"/>
        <v>35</v>
      </c>
      <c r="H39" s="38">
        <f>N8+(N9*10)+(N10*25)</f>
        <v>130.5</v>
      </c>
      <c r="I39" s="38">
        <f>P17+(P18*20)*0.85+(P19*10)*0.4+(P20*5)*0.25</f>
        <v>94.358749999999986</v>
      </c>
      <c r="J39" s="6">
        <f t="shared" si="10"/>
        <v>224.85874999999999</v>
      </c>
      <c r="X39" s="4">
        <f t="shared" si="11"/>
        <v>0.45</v>
      </c>
      <c r="Y39" s="4">
        <f t="shared" si="12"/>
        <v>0.44999999999999973</v>
      </c>
      <c r="Z39" s="4">
        <f t="shared" si="13"/>
        <v>0.45</v>
      </c>
    </row>
    <row r="40" spans="2:26" x14ac:dyDescent="0.25">
      <c r="B40" s="26">
        <f t="shared" si="6"/>
        <v>36</v>
      </c>
      <c r="C40" s="25">
        <f>5+(0.5*10)+(3.2*26)</f>
        <v>93.2</v>
      </c>
      <c r="D40" s="25">
        <f>5+(2.7*20)*0.85+(2.7*10)*0.4+(2.7*6)*0.25</f>
        <v>65.75</v>
      </c>
      <c r="E40" s="25">
        <f t="shared" si="9"/>
        <v>158.94999999999999</v>
      </c>
      <c r="F40" s="32"/>
      <c r="G40" s="5">
        <f t="shared" si="7"/>
        <v>36</v>
      </c>
      <c r="H40" s="38">
        <f>N8+(N9*10)+(N10*26)</f>
        <v>135.14000000000001</v>
      </c>
      <c r="I40" s="38">
        <f>P17+(P18*20)*0.85+(P19*10)*0.4+(P20*6)*0.25</f>
        <v>95.337499999999991</v>
      </c>
      <c r="J40" s="6">
        <f t="shared" si="10"/>
        <v>230.47750000000002</v>
      </c>
      <c r="X40" s="4">
        <f t="shared" si="11"/>
        <v>0.45000000000000023</v>
      </c>
      <c r="Y40" s="4">
        <f t="shared" si="12"/>
        <v>0.44999999999999984</v>
      </c>
      <c r="Z40" s="4">
        <f t="shared" si="13"/>
        <v>0.45000000000000012</v>
      </c>
    </row>
    <row r="41" spans="2:26" x14ac:dyDescent="0.25">
      <c r="B41" s="26">
        <f t="shared" si="6"/>
        <v>37</v>
      </c>
      <c r="C41" s="25">
        <f>5+(0.5*10)+(3.2*27)</f>
        <v>96.4</v>
      </c>
      <c r="D41" s="25">
        <f>5+(2.7*20)*0.85+(2.7*10)*0.4+(2.7*7)*0.25</f>
        <v>66.424999999999997</v>
      </c>
      <c r="E41" s="25">
        <f t="shared" si="9"/>
        <v>162.82499999999999</v>
      </c>
      <c r="F41" s="32"/>
      <c r="G41" s="5">
        <f t="shared" si="7"/>
        <v>37</v>
      </c>
      <c r="H41" s="38">
        <f>N8+(N9*10)+(N10*27)</f>
        <v>139.78000000000003</v>
      </c>
      <c r="I41" s="38">
        <f>P17+(P18*20)*0.85+(P19*10)*0.4+(P20*7)*0.25</f>
        <v>96.316249999999997</v>
      </c>
      <c r="J41" s="6">
        <f t="shared" si="10"/>
        <v>236.09625000000003</v>
      </c>
      <c r="X41" s="4">
        <f t="shared" si="11"/>
        <v>0.45000000000000029</v>
      </c>
      <c r="Y41" s="4">
        <f t="shared" si="12"/>
        <v>0.45</v>
      </c>
      <c r="Z41" s="4">
        <f t="shared" si="13"/>
        <v>0.45000000000000023</v>
      </c>
    </row>
    <row r="42" spans="2:26" x14ac:dyDescent="0.25">
      <c r="B42" s="26">
        <f t="shared" si="6"/>
        <v>38</v>
      </c>
      <c r="C42" s="25">
        <f>5+(0.5*10)+(3.2*28)</f>
        <v>99.600000000000009</v>
      </c>
      <c r="D42" s="25">
        <f>5+(2.7*20)*0.85+(2.7*10)*0.4+(2.7*8)*0.25</f>
        <v>67.100000000000009</v>
      </c>
      <c r="E42" s="25">
        <f t="shared" si="9"/>
        <v>166.70000000000002</v>
      </c>
      <c r="F42" s="32"/>
      <c r="G42" s="5">
        <f t="shared" si="7"/>
        <v>38</v>
      </c>
      <c r="H42" s="38">
        <f>N8+(N9*10)+(N10*28)</f>
        <v>144.42000000000002</v>
      </c>
      <c r="I42" s="38">
        <f>P17+(P18*20)*0.85+(P19*10)*0.4+(P20*8)*0.25</f>
        <v>97.294999999999987</v>
      </c>
      <c r="J42" s="6">
        <f t="shared" si="10"/>
        <v>241.715</v>
      </c>
      <c r="X42" s="4">
        <f t="shared" si="11"/>
        <v>0.44999999999999984</v>
      </c>
      <c r="Y42" s="4">
        <f t="shared" si="12"/>
        <v>0.44999999999999962</v>
      </c>
      <c r="Z42" s="4">
        <f t="shared" si="13"/>
        <v>0.45</v>
      </c>
    </row>
    <row r="43" spans="2:26" x14ac:dyDescent="0.25">
      <c r="B43" s="26">
        <f t="shared" si="6"/>
        <v>39</v>
      </c>
      <c r="C43" s="25">
        <f>5+(0.5*10)+(3.2*29)</f>
        <v>102.80000000000001</v>
      </c>
      <c r="D43" s="25">
        <f>5+(2.7*20)*0.85+(2.7*10)*0.4+(2.7*9)*0.25</f>
        <v>67.775000000000006</v>
      </c>
      <c r="E43" s="25">
        <f t="shared" si="9"/>
        <v>170.57500000000002</v>
      </c>
      <c r="F43" s="32"/>
      <c r="G43" s="5">
        <f t="shared" si="7"/>
        <v>39</v>
      </c>
      <c r="H43" s="38">
        <f>N8+(N9*10)+(N10*29)</f>
        <v>149.06</v>
      </c>
      <c r="I43" s="38">
        <f>P17+(P18*20)*0.85+(P19*10)*0.4+(P20*9)*0.25</f>
        <v>98.273749999999993</v>
      </c>
      <c r="J43" s="6">
        <f t="shared" si="10"/>
        <v>247.33375000000001</v>
      </c>
      <c r="X43" s="4">
        <f t="shared" si="11"/>
        <v>0.4499999999999999</v>
      </c>
      <c r="Y43" s="4">
        <f t="shared" si="12"/>
        <v>0.44999999999999979</v>
      </c>
      <c r="Z43" s="4">
        <f t="shared" si="13"/>
        <v>0.44999999999999984</v>
      </c>
    </row>
    <row r="44" spans="2:26" x14ac:dyDescent="0.25">
      <c r="B44" s="26">
        <f t="shared" si="6"/>
        <v>40</v>
      </c>
      <c r="C44" s="25">
        <f>5+(0.5*10)+(3.2*30)</f>
        <v>106</v>
      </c>
      <c r="D44" s="25">
        <f>5+(2.7*20)*0.85+(2.7*10)*0.4+(2.7*10)*0.25</f>
        <v>68.45</v>
      </c>
      <c r="E44" s="25">
        <f t="shared" si="9"/>
        <v>174.45</v>
      </c>
      <c r="F44" s="32"/>
      <c r="G44" s="5">
        <f t="shared" si="7"/>
        <v>40</v>
      </c>
      <c r="H44" s="38">
        <f>N8+(N9*10)+(N10*30)</f>
        <v>153.70000000000002</v>
      </c>
      <c r="I44" s="38">
        <f>P17+(P18*20)*0.85+(P19*10)*0.4+(P20*10)*0.25</f>
        <v>99.252499999999984</v>
      </c>
      <c r="J44" s="6">
        <f t="shared" si="10"/>
        <v>252.95249999999999</v>
      </c>
      <c r="X44" s="4">
        <f t="shared" si="11"/>
        <v>0.45</v>
      </c>
      <c r="Y44" s="4">
        <f t="shared" si="12"/>
        <v>0.44999999999999968</v>
      </c>
      <c r="Z44" s="4">
        <f t="shared" si="13"/>
        <v>0.45000000000000018</v>
      </c>
    </row>
    <row r="45" spans="2:26" x14ac:dyDescent="0.25">
      <c r="B45" s="26">
        <f t="shared" si="6"/>
        <v>41</v>
      </c>
      <c r="C45" s="25">
        <f>5+(0.5*10)+(3.2*31)</f>
        <v>109.2</v>
      </c>
      <c r="D45" s="25">
        <f>5+(2.7*20)*0.85+(2.7*10)*0.4+(2.7*11)*0.25</f>
        <v>69.125</v>
      </c>
      <c r="E45" s="25">
        <f t="shared" si="9"/>
        <v>178.32499999999999</v>
      </c>
      <c r="F45" s="32"/>
      <c r="G45" s="5">
        <f t="shared" si="7"/>
        <v>41</v>
      </c>
      <c r="H45" s="38">
        <f>N8+(N9*10)+(N10*31)</f>
        <v>158.34000000000003</v>
      </c>
      <c r="I45" s="38">
        <f>P17+(P18*20)*0.85+(P19*10)*0.4+(P20*11)*0.25</f>
        <v>100.23124999999999</v>
      </c>
      <c r="J45" s="6">
        <f t="shared" si="10"/>
        <v>258.57125000000002</v>
      </c>
      <c r="X45" s="4">
        <f t="shared" si="11"/>
        <v>0.45000000000000023</v>
      </c>
      <c r="Y45" s="4">
        <f t="shared" si="12"/>
        <v>0.44999999999999984</v>
      </c>
      <c r="Z45" s="4">
        <f t="shared" si="13"/>
        <v>0.45000000000000023</v>
      </c>
    </row>
    <row r="46" spans="2:26" x14ac:dyDescent="0.25">
      <c r="B46" s="26">
        <f t="shared" si="6"/>
        <v>42</v>
      </c>
      <c r="C46" s="25">
        <f>5+(0.5*10)+(3.2*32)</f>
        <v>112.4</v>
      </c>
      <c r="D46" s="25">
        <f>5+(2.7*20)*0.85+(2.7*10)*0.4+(2.7*12)*0.25</f>
        <v>69.800000000000011</v>
      </c>
      <c r="E46" s="25">
        <f t="shared" si="9"/>
        <v>182.20000000000002</v>
      </c>
      <c r="F46" s="32"/>
      <c r="G46" s="5">
        <f t="shared" si="7"/>
        <v>42</v>
      </c>
      <c r="H46" s="38">
        <f>N8+(N9*10)+(N10*32)</f>
        <v>162.98000000000002</v>
      </c>
      <c r="I46" s="38">
        <f>P17+(P18*20)*0.85+(P19*10)*0.4+(P20*12)*0.25</f>
        <v>101.21</v>
      </c>
      <c r="J46" s="6">
        <f t="shared" si="10"/>
        <v>264.19</v>
      </c>
      <c r="X46" s="4">
        <f t="shared" si="11"/>
        <v>0.44999999999999984</v>
      </c>
      <c r="Y46" s="4">
        <f t="shared" si="12"/>
        <v>0.44999999999999968</v>
      </c>
      <c r="Z46" s="4">
        <f t="shared" si="13"/>
        <v>0.45000000000000007</v>
      </c>
    </row>
    <row r="47" spans="2:26" x14ac:dyDescent="0.25">
      <c r="B47" s="26">
        <f t="shared" si="6"/>
        <v>43</v>
      </c>
      <c r="C47" s="25">
        <f>5+(0.5*10)+(3.2*33)</f>
        <v>115.60000000000001</v>
      </c>
      <c r="D47" s="25">
        <f>5+(2.7*20)*0.85+(2.7*10)*0.4+(2.7*13)*0.25</f>
        <v>70.475000000000009</v>
      </c>
      <c r="E47" s="25">
        <f t="shared" si="9"/>
        <v>186.07500000000002</v>
      </c>
      <c r="F47" s="32"/>
      <c r="G47" s="5">
        <f t="shared" si="7"/>
        <v>43</v>
      </c>
      <c r="H47" s="38">
        <f>N8+(N9*10)+(N10*33)</f>
        <v>167.62</v>
      </c>
      <c r="I47" s="38">
        <f>P17+(P18*20)*0.85+(P19*10)*0.4+(P20*13)*0.25</f>
        <v>102.18874999999998</v>
      </c>
      <c r="J47" s="6">
        <f t="shared" si="10"/>
        <v>269.80874999999997</v>
      </c>
      <c r="X47" s="4">
        <f t="shared" si="11"/>
        <v>0.44999999999999973</v>
      </c>
      <c r="Y47" s="4">
        <f t="shared" si="12"/>
        <v>0.44999999999999962</v>
      </c>
      <c r="Z47" s="4">
        <f t="shared" si="13"/>
        <v>0.44999999999999996</v>
      </c>
    </row>
    <row r="48" spans="2:26" x14ac:dyDescent="0.25">
      <c r="B48" s="26">
        <f t="shared" si="6"/>
        <v>44</v>
      </c>
      <c r="C48" s="25">
        <f>5+(0.5*10)+(3.2*34)</f>
        <v>118.80000000000001</v>
      </c>
      <c r="D48" s="25">
        <f>5+(2.7*20)*0.85+(2.7*10)*0.4+(2.7*14)*0.25</f>
        <v>71.150000000000006</v>
      </c>
      <c r="E48" s="25">
        <f t="shared" si="9"/>
        <v>189.95000000000002</v>
      </c>
      <c r="F48" s="32"/>
      <c r="G48" s="5">
        <f t="shared" si="7"/>
        <v>44</v>
      </c>
      <c r="H48" s="38">
        <f>N8+(N9*10)+(N10*34)</f>
        <v>172.26000000000002</v>
      </c>
      <c r="I48" s="38">
        <f>P17+(P18*20)*0.85+(P19*10)*0.4+(P20*14)*0.25</f>
        <v>103.16749999999999</v>
      </c>
      <c r="J48" s="6">
        <f t="shared" si="10"/>
        <v>275.42750000000001</v>
      </c>
      <c r="X48" s="4">
        <f t="shared" si="11"/>
        <v>0.4499999999999999</v>
      </c>
      <c r="Y48" s="4">
        <f t="shared" si="12"/>
        <v>0.44999999999999973</v>
      </c>
      <c r="Z48" s="4">
        <f t="shared" si="13"/>
        <v>0.45</v>
      </c>
    </row>
    <row r="49" spans="2:26" x14ac:dyDescent="0.25">
      <c r="B49" s="26">
        <f t="shared" si="6"/>
        <v>45</v>
      </c>
      <c r="C49" s="25">
        <f>5+(0.5*10)+(3.2*35)</f>
        <v>122</v>
      </c>
      <c r="D49" s="25">
        <f>5+(2.7*20)*0.85+(2.7*10)*0.4+(2.7*15)*0.25</f>
        <v>71.825000000000003</v>
      </c>
      <c r="E49" s="25">
        <f t="shared" si="9"/>
        <v>193.82499999999999</v>
      </c>
      <c r="F49" s="32"/>
      <c r="G49" s="5">
        <f t="shared" si="7"/>
        <v>45</v>
      </c>
      <c r="H49" s="38">
        <f>N8+(N9*10)+(N10*35)</f>
        <v>176.90000000000003</v>
      </c>
      <c r="I49" s="38">
        <f>P17+(P18*20)*0.85+(P19*10)*0.4+(P20*15)*0.25</f>
        <v>104.14624999999999</v>
      </c>
      <c r="J49" s="6">
        <f t="shared" si="10"/>
        <v>281.04625000000004</v>
      </c>
      <c r="X49" s="4">
        <f t="shared" si="11"/>
        <v>0.45000000000000029</v>
      </c>
      <c r="Y49" s="4">
        <f t="shared" si="12"/>
        <v>0.44999999999999984</v>
      </c>
      <c r="Z49" s="4">
        <f t="shared" si="13"/>
        <v>0.45000000000000029</v>
      </c>
    </row>
    <row r="50" spans="2:26" x14ac:dyDescent="0.25">
      <c r="B50" s="26">
        <f t="shared" si="6"/>
        <v>46</v>
      </c>
      <c r="C50" s="25">
        <f>5+(0.5*10)+(3.2*36)</f>
        <v>125.2</v>
      </c>
      <c r="D50" s="25">
        <f>5+(2.7*20)*0.85+(2.7*10)*0.4+(2.7*16)*0.25</f>
        <v>72.5</v>
      </c>
      <c r="E50" s="25">
        <f t="shared" si="9"/>
        <v>197.7</v>
      </c>
      <c r="F50" s="32"/>
      <c r="G50" s="5">
        <f t="shared" si="7"/>
        <v>46</v>
      </c>
      <c r="H50" s="38">
        <f>N8+(N9*10)+(N10*36)</f>
        <v>181.54000000000002</v>
      </c>
      <c r="I50" s="38">
        <f>P17+(P18*20)*0.85+(P19*10)*0.4+(P20*16)*0.25</f>
        <v>105.12499999999999</v>
      </c>
      <c r="J50" s="6">
        <f t="shared" si="10"/>
        <v>286.66500000000002</v>
      </c>
      <c r="X50" s="4">
        <f t="shared" si="11"/>
        <v>0.45000000000000018</v>
      </c>
      <c r="Y50" s="4">
        <f t="shared" si="12"/>
        <v>0.44999999999999979</v>
      </c>
      <c r="Z50" s="4">
        <f t="shared" si="13"/>
        <v>0.45000000000000012</v>
      </c>
    </row>
    <row r="51" spans="2:26" x14ac:dyDescent="0.25">
      <c r="B51" s="26">
        <f t="shared" si="6"/>
        <v>47</v>
      </c>
      <c r="C51" s="25">
        <f>5+(0.5*10)+(3.2*37)</f>
        <v>128.4</v>
      </c>
      <c r="D51" s="25">
        <f>5+(2.7*20)*0.85+(2.7*10)*0.4+(2.7*17)*0.25</f>
        <v>73.175000000000011</v>
      </c>
      <c r="E51" s="25">
        <f t="shared" si="9"/>
        <v>201.57500000000002</v>
      </c>
      <c r="F51" s="32"/>
      <c r="G51" s="5">
        <f t="shared" si="7"/>
        <v>47</v>
      </c>
      <c r="H51" s="38">
        <f>N8+(N9*10)+(N10*37)</f>
        <v>186.18</v>
      </c>
      <c r="I51" s="38">
        <f>P17+(P18*20)*0.85+(P19*10)*0.4+(P20*17)*0.25</f>
        <v>106.10374999999999</v>
      </c>
      <c r="J51" s="6">
        <f t="shared" si="10"/>
        <v>292.28375</v>
      </c>
      <c r="X51" s="4">
        <f t="shared" si="11"/>
        <v>0.44999999999999984</v>
      </c>
      <c r="Y51" s="4">
        <f t="shared" si="12"/>
        <v>0.44999999999999968</v>
      </c>
      <c r="Z51" s="4">
        <f t="shared" si="13"/>
        <v>0.45</v>
      </c>
    </row>
    <row r="52" spans="2:26" x14ac:dyDescent="0.25">
      <c r="B52" s="26">
        <f t="shared" si="6"/>
        <v>48</v>
      </c>
      <c r="C52" s="25">
        <f>5+(0.5*10)+(3.2*38)</f>
        <v>131.60000000000002</v>
      </c>
      <c r="D52" s="25">
        <f>5+(2.7*20)*0.85+(2.7*10)*0.4+(2.7*18)*0.25</f>
        <v>73.850000000000009</v>
      </c>
      <c r="E52" s="25">
        <f t="shared" si="9"/>
        <v>205.45000000000005</v>
      </c>
      <c r="F52" s="32"/>
      <c r="G52" s="5">
        <f t="shared" si="7"/>
        <v>48</v>
      </c>
      <c r="H52" s="38">
        <f>N8+(N9*10)+(N10*38)</f>
        <v>190.82000000000002</v>
      </c>
      <c r="I52" s="38">
        <f>P17+(P18*20)*0.85+(P19*10)*0.4+(P20*18)*0.25</f>
        <v>107.08249999999998</v>
      </c>
      <c r="J52" s="6">
        <f t="shared" si="10"/>
        <v>297.90250000000003</v>
      </c>
      <c r="X52" s="4">
        <f t="shared" si="11"/>
        <v>0.44999999999999984</v>
      </c>
      <c r="Y52" s="4">
        <f t="shared" si="12"/>
        <v>0.44999999999999957</v>
      </c>
      <c r="Z52" s="4">
        <f t="shared" si="13"/>
        <v>0.4499999999999999</v>
      </c>
    </row>
    <row r="53" spans="2:26" x14ac:dyDescent="0.25">
      <c r="B53" s="26">
        <f t="shared" si="6"/>
        <v>49</v>
      </c>
      <c r="C53" s="25">
        <f>5+(0.5*10)+(3.2*39)</f>
        <v>134.80000000000001</v>
      </c>
      <c r="D53" s="25">
        <f>5+(2.7*20)*0.85+(2.7*10)*0.4+(2.7*19)*0.25</f>
        <v>74.525000000000006</v>
      </c>
      <c r="E53" s="25">
        <f t="shared" si="9"/>
        <v>209.32500000000002</v>
      </c>
      <c r="F53" s="32"/>
      <c r="G53" s="5">
        <f t="shared" si="7"/>
        <v>49</v>
      </c>
      <c r="H53" s="38">
        <f>N8+(N9*10)+(N10*39)</f>
        <v>195.46000000000004</v>
      </c>
      <c r="I53" s="38">
        <f>P17+(P18*20)*0.85+(P19*10)*0.4+(P20*19)*0.25</f>
        <v>108.06124999999999</v>
      </c>
      <c r="J53" s="6">
        <f t="shared" si="10"/>
        <v>303.52125000000001</v>
      </c>
      <c r="X53" s="4">
        <f t="shared" si="11"/>
        <v>0.4499999999999999</v>
      </c>
      <c r="Y53" s="4">
        <f t="shared" si="12"/>
        <v>0.44999999999999973</v>
      </c>
      <c r="Z53" s="4">
        <f t="shared" si="13"/>
        <v>0.45000000000000012</v>
      </c>
    </row>
    <row r="54" spans="2:26" x14ac:dyDescent="0.25">
      <c r="B54" s="26">
        <f t="shared" si="6"/>
        <v>50</v>
      </c>
      <c r="C54" s="25">
        <f>5+(0.5*10)+(3.2*40)</f>
        <v>138</v>
      </c>
      <c r="D54" s="25">
        <f>5+(2.7*20)*0.85+(2.7*10)*0.4+(2.7*20)*0.25</f>
        <v>75.2</v>
      </c>
      <c r="E54" s="25">
        <f t="shared" si="9"/>
        <v>213.2</v>
      </c>
      <c r="F54" s="32"/>
      <c r="G54" s="5">
        <f t="shared" si="7"/>
        <v>50</v>
      </c>
      <c r="H54" s="38">
        <f>N8+(N9*10)+(N10*40)</f>
        <v>200.10000000000002</v>
      </c>
      <c r="I54" s="38">
        <f>P17+(P18*20)*0.85+(P19*10)*0.4+(P20*20)*0.25</f>
        <v>109.03999999999999</v>
      </c>
      <c r="J54" s="6">
        <f t="shared" si="10"/>
        <v>309.14</v>
      </c>
      <c r="X54" s="4">
        <f t="shared" si="11"/>
        <v>0.45</v>
      </c>
      <c r="Y54" s="4">
        <f t="shared" si="12"/>
        <v>0.44999999999999984</v>
      </c>
      <c r="Z54" s="4">
        <f t="shared" si="13"/>
        <v>0.45000000000000018</v>
      </c>
    </row>
    <row r="55" spans="2:26" x14ac:dyDescent="0.25">
      <c r="B55" s="48" t="s">
        <v>14</v>
      </c>
      <c r="C55" s="49"/>
      <c r="D55" s="49"/>
      <c r="E55" s="49"/>
      <c r="F55" s="49"/>
      <c r="G55" s="49"/>
      <c r="H55" s="49"/>
      <c r="I55" s="49"/>
      <c r="J55" s="50"/>
    </row>
  </sheetData>
  <mergeCells count="44">
    <mergeCell ref="B1:E1"/>
    <mergeCell ref="G1:J1"/>
    <mergeCell ref="B2:E2"/>
    <mergeCell ref="G2:J2"/>
    <mergeCell ref="L18:O18"/>
    <mergeCell ref="L4:V4"/>
    <mergeCell ref="L6:P6"/>
    <mergeCell ref="L7:M7"/>
    <mergeCell ref="L8:M8"/>
    <mergeCell ref="L9:M9"/>
    <mergeCell ref="L10:M10"/>
    <mergeCell ref="R9:S9"/>
    <mergeCell ref="R17:S17"/>
    <mergeCell ref="P16:Q16"/>
    <mergeCell ref="L17:O17"/>
    <mergeCell ref="R19:S19"/>
    <mergeCell ref="R24:S24"/>
    <mergeCell ref="L16:O16"/>
    <mergeCell ref="L26:O26"/>
    <mergeCell ref="L27:O27"/>
    <mergeCell ref="L22:O22"/>
    <mergeCell ref="P22:Q22"/>
    <mergeCell ref="L24:O24"/>
    <mergeCell ref="L23:O23"/>
    <mergeCell ref="P23:Q23"/>
    <mergeCell ref="L19:O19"/>
    <mergeCell ref="L20:O20"/>
    <mergeCell ref="L25:O25"/>
    <mergeCell ref="B55:J55"/>
    <mergeCell ref="R7:S7"/>
    <mergeCell ref="R8:S8"/>
    <mergeCell ref="R18:S18"/>
    <mergeCell ref="L14:S14"/>
    <mergeCell ref="R20:S20"/>
    <mergeCell ref="R25:S25"/>
    <mergeCell ref="R26:S26"/>
    <mergeCell ref="R27:S27"/>
    <mergeCell ref="L30:S34"/>
    <mergeCell ref="L15:O15"/>
    <mergeCell ref="P15:Q15"/>
    <mergeCell ref="R15:S16"/>
    <mergeCell ref="L36:S38"/>
    <mergeCell ref="R22:S23"/>
    <mergeCell ref="R10:S10"/>
  </mergeCells>
  <pageMargins left="0.7" right="0.7" top="0.75" bottom="0.75" header="0.3" footer="0.3"/>
  <pageSetup scale="84" fitToWidth="2" orientation="portrait" r:id="rId1"/>
  <rowBreaks count="1" manualBreakCount="1">
    <brk id="54" max="21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156</vt:lpstr>
      <vt:lpstr>'156'!Print_Area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Morrow</dc:creator>
  <cp:lastModifiedBy>Heather Frank</cp:lastModifiedBy>
  <cp:lastPrinted>2022-10-20T17:54:41Z</cp:lastPrinted>
  <dcterms:created xsi:type="dcterms:W3CDTF">2022-09-06T17:03:26Z</dcterms:created>
  <dcterms:modified xsi:type="dcterms:W3CDTF">2023-03-16T14:10:15Z</dcterms:modified>
</cp:coreProperties>
</file>